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ЭтаКнига" defaultThemeVersion="124226"/>
  <xr:revisionPtr revIDLastSave="0" documentId="8_{ADF637CC-D0D0-4BDC-BF4A-A294305A44B0}" xr6:coauthVersionLast="47" xr6:coauthVersionMax="47" xr10:uidLastSave="{00000000-0000-0000-0000-000000000000}"/>
  <bookViews>
    <workbookView xWindow="-120" yWindow="-120" windowWidth="20730" windowHeight="11310" tabRatio="829" activeTab="1" xr2:uid="{00000000-000D-0000-FFFF-FFFF00000000}"/>
  </bookViews>
  <sheets>
    <sheet name="Лист1" sheetId="21" r:id="rId1"/>
    <sheet name="Правила и справки" sheetId="6" r:id="rId2"/>
    <sheet name="Статистическая ЗП" sheetId="15" r:id="rId3"/>
    <sheet name="Калькуляция" sheetId="16" r:id="rId4"/>
    <sheet name="Расчет ФОТ" sheetId="17" r:id="rId5"/>
    <sheet name="Тарификатор" sheetId="19" r:id="rId6"/>
    <sheet name="Приложение к договору" sheetId="20" r:id="rId7"/>
  </sheets>
  <definedNames>
    <definedName name="_xlnm.Print_Area" localSheetId="3">Калькуляция!$B$9:$J$72</definedName>
    <definedName name="сумм_аммортиз" localSheetId="3">Калькуляция!$E$75:$E$87</definedName>
    <definedName name="сумм_аммортиз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8" i="15" l="1"/>
  <c r="AE10" i="17" l="1"/>
  <c r="AE11" i="17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9" i="17"/>
  <c r="H33" i="16" l="1"/>
  <c r="G33" i="16" s="1"/>
  <c r="H34" i="16"/>
  <c r="G34" i="16" s="1"/>
  <c r="H35" i="16"/>
  <c r="G35" i="16" s="1"/>
  <c r="H36" i="16"/>
  <c r="G36" i="16" s="1"/>
  <c r="H24" i="16"/>
  <c r="G24" i="16" s="1"/>
  <c r="H25" i="16"/>
  <c r="G25" i="16" s="1"/>
  <c r="H26" i="16"/>
  <c r="G26" i="16" s="1"/>
  <c r="H27" i="16"/>
  <c r="G27" i="16" s="1"/>
  <c r="H28" i="16"/>
  <c r="G28" i="16" s="1"/>
  <c r="L20" i="17"/>
  <c r="Q20" i="17" s="1"/>
  <c r="M20" i="17"/>
  <c r="N20" i="17"/>
  <c r="O20" i="17" s="1"/>
  <c r="P20" i="17" s="1"/>
  <c r="B91" i="20"/>
  <c r="C91" i="20"/>
  <c r="E91" i="20"/>
  <c r="B92" i="20"/>
  <c r="C92" i="20"/>
  <c r="E92" i="20"/>
  <c r="B93" i="20"/>
  <c r="C93" i="20"/>
  <c r="E93" i="20"/>
  <c r="B94" i="20"/>
  <c r="C94" i="20"/>
  <c r="E94" i="20"/>
  <c r="B95" i="20"/>
  <c r="C95" i="20"/>
  <c r="E95" i="20"/>
  <c r="B96" i="20"/>
  <c r="C96" i="20"/>
  <c r="E96" i="20"/>
  <c r="B97" i="20"/>
  <c r="C97" i="20"/>
  <c r="E97" i="20"/>
  <c r="B98" i="20"/>
  <c r="C98" i="20"/>
  <c r="E98" i="20"/>
  <c r="B99" i="20"/>
  <c r="C99" i="20"/>
  <c r="E99" i="20"/>
  <c r="B100" i="20"/>
  <c r="C100" i="20"/>
  <c r="E100" i="20"/>
  <c r="B101" i="20"/>
  <c r="C101" i="20"/>
  <c r="E101" i="20"/>
  <c r="B102" i="20"/>
  <c r="C102" i="20"/>
  <c r="E102" i="20"/>
  <c r="B103" i="20"/>
  <c r="C103" i="20"/>
  <c r="E103" i="20"/>
  <c r="B104" i="20"/>
  <c r="C104" i="20"/>
  <c r="E104" i="20"/>
  <c r="B105" i="20"/>
  <c r="C105" i="20"/>
  <c r="E105" i="20"/>
  <c r="A20" i="19" l="1"/>
  <c r="B20" i="19"/>
  <c r="B26" i="20" s="1"/>
  <c r="A21" i="19"/>
  <c r="B21" i="19"/>
  <c r="B27" i="20" s="1"/>
  <c r="A22" i="19"/>
  <c r="B22" i="19"/>
  <c r="B28" i="20" s="1"/>
  <c r="A23" i="19"/>
  <c r="B23" i="19"/>
  <c r="B29" i="20" s="1"/>
  <c r="A24" i="19"/>
  <c r="B24" i="19"/>
  <c r="B30" i="20" s="1"/>
  <c r="A25" i="19"/>
  <c r="B25" i="19"/>
  <c r="B31" i="20" s="1"/>
  <c r="A26" i="19"/>
  <c r="B26" i="19"/>
  <c r="B32" i="20" s="1"/>
  <c r="A27" i="19"/>
  <c r="B27" i="19"/>
  <c r="B33" i="20" s="1"/>
  <c r="A28" i="19"/>
  <c r="B28" i="19"/>
  <c r="B34" i="20" s="1"/>
  <c r="A29" i="19"/>
  <c r="B29" i="19"/>
  <c r="B35" i="20" s="1"/>
  <c r="A30" i="19"/>
  <c r="B30" i="19"/>
  <c r="B36" i="20" s="1"/>
  <c r="A31" i="19"/>
  <c r="B31" i="19"/>
  <c r="B37" i="20" s="1"/>
  <c r="A32" i="19"/>
  <c r="B32" i="19"/>
  <c r="B38" i="20" s="1"/>
  <c r="A33" i="19"/>
  <c r="B33" i="19"/>
  <c r="B39" i="20" s="1"/>
  <c r="A34" i="19"/>
  <c r="B34" i="19"/>
  <c r="B40" i="20" s="1"/>
  <c r="J26" i="17"/>
  <c r="L26" i="17"/>
  <c r="N26" i="17"/>
  <c r="O26" i="17" s="1"/>
  <c r="P26" i="17" s="1"/>
  <c r="W26" i="17"/>
  <c r="J27" i="17"/>
  <c r="L27" i="17"/>
  <c r="N27" i="17"/>
  <c r="O27" i="17" s="1"/>
  <c r="P27" i="17" s="1"/>
  <c r="W27" i="17"/>
  <c r="J28" i="17"/>
  <c r="L28" i="17"/>
  <c r="N28" i="17"/>
  <c r="O28" i="17" s="1"/>
  <c r="P28" i="17" s="1"/>
  <c r="W28" i="17"/>
  <c r="J29" i="17"/>
  <c r="L29" i="17"/>
  <c r="N29" i="17"/>
  <c r="O29" i="17" s="1"/>
  <c r="P29" i="17" s="1"/>
  <c r="W29" i="17"/>
  <c r="J30" i="17"/>
  <c r="L30" i="17"/>
  <c r="M30" i="17"/>
  <c r="G95" i="20" s="1"/>
  <c r="N30" i="17"/>
  <c r="O30" i="17" s="1"/>
  <c r="P30" i="17" s="1"/>
  <c r="W30" i="17"/>
  <c r="J31" i="17"/>
  <c r="L31" i="17"/>
  <c r="N31" i="17"/>
  <c r="O31" i="17" s="1"/>
  <c r="P31" i="17" s="1"/>
  <c r="W31" i="17"/>
  <c r="J32" i="17"/>
  <c r="L32" i="17"/>
  <c r="N32" i="17"/>
  <c r="O32" i="17" s="1"/>
  <c r="P32" i="17" s="1"/>
  <c r="W32" i="17"/>
  <c r="J33" i="17"/>
  <c r="L33" i="17"/>
  <c r="N33" i="17"/>
  <c r="O33" i="17" s="1"/>
  <c r="P33" i="17" s="1"/>
  <c r="W33" i="17"/>
  <c r="J34" i="17"/>
  <c r="L34" i="17"/>
  <c r="N34" i="17"/>
  <c r="O34" i="17" s="1"/>
  <c r="P34" i="17" s="1"/>
  <c r="W34" i="17"/>
  <c r="J35" i="17"/>
  <c r="L35" i="17"/>
  <c r="N35" i="17"/>
  <c r="O35" i="17" s="1"/>
  <c r="P35" i="17" s="1"/>
  <c r="W35" i="17"/>
  <c r="J36" i="17"/>
  <c r="L36" i="17"/>
  <c r="N36" i="17"/>
  <c r="O36" i="17" s="1"/>
  <c r="P36" i="17" s="1"/>
  <c r="W36" i="17"/>
  <c r="J37" i="17"/>
  <c r="L37" i="17"/>
  <c r="N37" i="17"/>
  <c r="O37" i="17" s="1"/>
  <c r="P37" i="17" s="1"/>
  <c r="W37" i="17"/>
  <c r="J38" i="17"/>
  <c r="L38" i="17"/>
  <c r="M38" i="17"/>
  <c r="G103" i="20" s="1"/>
  <c r="N38" i="17"/>
  <c r="O38" i="17" s="1"/>
  <c r="P38" i="17" s="1"/>
  <c r="W38" i="17"/>
  <c r="J39" i="17"/>
  <c r="L39" i="17"/>
  <c r="N39" i="17"/>
  <c r="O39" i="17" s="1"/>
  <c r="P39" i="17" s="1"/>
  <c r="W39" i="17"/>
  <c r="J40" i="17"/>
  <c r="L40" i="17"/>
  <c r="N40" i="17"/>
  <c r="O40" i="17" s="1"/>
  <c r="P40" i="17" s="1"/>
  <c r="W40" i="17"/>
  <c r="E31" i="19" l="1"/>
  <c r="F31" i="19" s="1"/>
  <c r="H31" i="19" s="1"/>
  <c r="D102" i="20"/>
  <c r="E28" i="19"/>
  <c r="G28" i="19" s="1"/>
  <c r="I28" i="19" s="1"/>
  <c r="D99" i="20"/>
  <c r="M26" i="17"/>
  <c r="G91" i="20" s="1"/>
  <c r="F91" i="20"/>
  <c r="Q32" i="17"/>
  <c r="F97" i="20"/>
  <c r="Q29" i="17"/>
  <c r="F94" i="20"/>
  <c r="E20" i="19"/>
  <c r="G20" i="19" s="1"/>
  <c r="I20" i="19" s="1"/>
  <c r="D91" i="20"/>
  <c r="Q38" i="17"/>
  <c r="F103" i="20"/>
  <c r="Q35" i="17"/>
  <c r="F100" i="20"/>
  <c r="E26" i="19"/>
  <c r="F26" i="19" s="1"/>
  <c r="H26" i="19" s="1"/>
  <c r="D97" i="20"/>
  <c r="E23" i="19"/>
  <c r="F23" i="19" s="1"/>
  <c r="H23" i="19" s="1"/>
  <c r="D94" i="20"/>
  <c r="E32" i="19"/>
  <c r="F32" i="19" s="1"/>
  <c r="H32" i="19" s="1"/>
  <c r="D103" i="20"/>
  <c r="E29" i="19"/>
  <c r="G29" i="19" s="1"/>
  <c r="I29" i="19" s="1"/>
  <c r="D100" i="20"/>
  <c r="Q27" i="17"/>
  <c r="F92" i="20"/>
  <c r="Q39" i="17"/>
  <c r="F104" i="20"/>
  <c r="Q36" i="17"/>
  <c r="F101" i="20"/>
  <c r="Q33" i="17"/>
  <c r="F98" i="20"/>
  <c r="Q30" i="17"/>
  <c r="F95" i="20"/>
  <c r="E21" i="19"/>
  <c r="F21" i="19" s="1"/>
  <c r="H21" i="19" s="1"/>
  <c r="D92" i="20"/>
  <c r="E33" i="19"/>
  <c r="G33" i="19" s="1"/>
  <c r="I33" i="19" s="1"/>
  <c r="D104" i="20"/>
  <c r="E30" i="19"/>
  <c r="G30" i="19" s="1"/>
  <c r="I30" i="19" s="1"/>
  <c r="D101" i="20"/>
  <c r="E27" i="19"/>
  <c r="F27" i="19" s="1"/>
  <c r="H27" i="19" s="1"/>
  <c r="D98" i="20"/>
  <c r="E24" i="19"/>
  <c r="F24" i="19" s="1"/>
  <c r="H24" i="19" s="1"/>
  <c r="D95" i="20"/>
  <c r="Q31" i="17"/>
  <c r="F96" i="20"/>
  <c r="Q28" i="17"/>
  <c r="F93" i="20"/>
  <c r="Q37" i="17"/>
  <c r="F102" i="20"/>
  <c r="Q34" i="17"/>
  <c r="F99" i="20"/>
  <c r="E25" i="19"/>
  <c r="G25" i="19" s="1"/>
  <c r="I25" i="19" s="1"/>
  <c r="D96" i="20"/>
  <c r="E22" i="19"/>
  <c r="G22" i="19" s="1"/>
  <c r="I22" i="19" s="1"/>
  <c r="D93" i="20"/>
  <c r="E34" i="19"/>
  <c r="D105" i="20"/>
  <c r="Q40" i="17"/>
  <c r="F105" i="20"/>
  <c r="F29" i="19"/>
  <c r="H29" i="19" s="1"/>
  <c r="G27" i="19"/>
  <c r="I27" i="19" s="1"/>
  <c r="Q26" i="17"/>
  <c r="R38" i="17"/>
  <c r="M34" i="17"/>
  <c r="G99" i="20" s="1"/>
  <c r="V26" i="17"/>
  <c r="R26" i="17"/>
  <c r="M39" i="17"/>
  <c r="G104" i="20" s="1"/>
  <c r="M40" i="17"/>
  <c r="G105" i="20" s="1"/>
  <c r="M31" i="17"/>
  <c r="G96" i="20" s="1"/>
  <c r="R34" i="17"/>
  <c r="V34" i="17"/>
  <c r="R39" i="17"/>
  <c r="V39" i="17" s="1"/>
  <c r="M33" i="17"/>
  <c r="G98" i="20" s="1"/>
  <c r="M32" i="17"/>
  <c r="G97" i="20" s="1"/>
  <c r="M29" i="17"/>
  <c r="G94" i="20" s="1"/>
  <c r="M28" i="17"/>
  <c r="G93" i="20" s="1"/>
  <c r="R33" i="17"/>
  <c r="V33" i="17" s="1"/>
  <c r="R30" i="17"/>
  <c r="V38" i="17"/>
  <c r="M37" i="17"/>
  <c r="G102" i="20" s="1"/>
  <c r="M36" i="17"/>
  <c r="G101" i="20" s="1"/>
  <c r="M27" i="17"/>
  <c r="G92" i="20" s="1"/>
  <c r="M35" i="17"/>
  <c r="G100" i="20" s="1"/>
  <c r="R29" i="17"/>
  <c r="V29" i="17" s="1"/>
  <c r="R40" i="17"/>
  <c r="V40" i="17" s="1"/>
  <c r="R36" i="17"/>
  <c r="V36" i="17" s="1"/>
  <c r="R32" i="17"/>
  <c r="R28" i="17"/>
  <c r="V28" i="17" s="1"/>
  <c r="R37" i="17"/>
  <c r="V37" i="17" s="1"/>
  <c r="R35" i="17"/>
  <c r="V35" i="17" s="1"/>
  <c r="R31" i="17"/>
  <c r="R27" i="17"/>
  <c r="V27" i="17" s="1"/>
  <c r="E3" i="20"/>
  <c r="B3" i="20"/>
  <c r="E2" i="20"/>
  <c r="B2" i="20"/>
  <c r="G21" i="19" l="1"/>
  <c r="I21" i="19" s="1"/>
  <c r="T30" i="17"/>
  <c r="U30" i="17" s="1"/>
  <c r="G31" i="19"/>
  <c r="I31" i="19" s="1"/>
  <c r="G26" i="19"/>
  <c r="I26" i="19" s="1"/>
  <c r="T34" i="17"/>
  <c r="U34" i="17" s="1"/>
  <c r="G23" i="19"/>
  <c r="I23" i="19" s="1"/>
  <c r="T38" i="17"/>
  <c r="U38" i="17" s="1"/>
  <c r="F25" i="19"/>
  <c r="H25" i="19" s="1"/>
  <c r="G32" i="19"/>
  <c r="I32" i="19" s="1"/>
  <c r="F28" i="19"/>
  <c r="H28" i="19" s="1"/>
  <c r="F30" i="19"/>
  <c r="H30" i="19" s="1"/>
  <c r="F33" i="19"/>
  <c r="H33" i="19" s="1"/>
  <c r="T26" i="17"/>
  <c r="U26" i="17" s="1"/>
  <c r="G24" i="19"/>
  <c r="I24" i="19" s="1"/>
  <c r="F20" i="19"/>
  <c r="H20" i="19" s="1"/>
  <c r="F22" i="19"/>
  <c r="H22" i="19" s="1"/>
  <c r="T31" i="17"/>
  <c r="U31" i="17" s="1"/>
  <c r="T33" i="17"/>
  <c r="X33" i="17" s="1"/>
  <c r="T27" i="17"/>
  <c r="X27" i="17" s="1"/>
  <c r="T39" i="17"/>
  <c r="U39" i="17" s="1"/>
  <c r="V30" i="17"/>
  <c r="V31" i="17"/>
  <c r="T32" i="17"/>
  <c r="V32" i="17"/>
  <c r="X34" i="17"/>
  <c r="T28" i="17"/>
  <c r="X28" i="17" s="1"/>
  <c r="T35" i="17"/>
  <c r="T37" i="17"/>
  <c r="X37" i="17" s="1"/>
  <c r="T40" i="17"/>
  <c r="U40" i="17" s="1"/>
  <c r="T36" i="17"/>
  <c r="X36" i="17" s="1"/>
  <c r="T29" i="17"/>
  <c r="U29" i="17" s="1"/>
  <c r="C75" i="20"/>
  <c r="E75" i="20"/>
  <c r="C76" i="20"/>
  <c r="E76" i="20"/>
  <c r="C77" i="20"/>
  <c r="E77" i="20"/>
  <c r="C78" i="20"/>
  <c r="E78" i="20"/>
  <c r="C79" i="20"/>
  <c r="E79" i="20"/>
  <c r="C80" i="20"/>
  <c r="E80" i="20"/>
  <c r="C81" i="20"/>
  <c r="E81" i="20"/>
  <c r="C82" i="20"/>
  <c r="E82" i="20"/>
  <c r="C83" i="20"/>
  <c r="E83" i="20"/>
  <c r="C84" i="20"/>
  <c r="E84" i="20"/>
  <c r="C85" i="20"/>
  <c r="E85" i="20"/>
  <c r="C86" i="20"/>
  <c r="E86" i="20"/>
  <c r="C87" i="20"/>
  <c r="E87" i="20"/>
  <c r="C88" i="20"/>
  <c r="E88" i="20"/>
  <c r="C89" i="20"/>
  <c r="E89" i="20"/>
  <c r="C90" i="20"/>
  <c r="E90" i="20"/>
  <c r="C106" i="20"/>
  <c r="E106" i="20"/>
  <c r="C107" i="20"/>
  <c r="E107" i="20"/>
  <c r="C108" i="20"/>
  <c r="E108" i="20"/>
  <c r="E74" i="20"/>
  <c r="C74" i="20"/>
  <c r="B108" i="20"/>
  <c r="B106" i="20"/>
  <c r="B107" i="20"/>
  <c r="B75" i="20"/>
  <c r="B76" i="20"/>
  <c r="B77" i="20"/>
  <c r="B78" i="20"/>
  <c r="B79" i="20"/>
  <c r="B80" i="20"/>
  <c r="B81" i="20"/>
  <c r="B82" i="20"/>
  <c r="B83" i="20"/>
  <c r="B84" i="20"/>
  <c r="B85" i="20"/>
  <c r="B86" i="20"/>
  <c r="B87" i="20"/>
  <c r="B88" i="20"/>
  <c r="B89" i="20"/>
  <c r="B90" i="20"/>
  <c r="B74" i="20"/>
  <c r="D59" i="20"/>
  <c r="D57" i="20"/>
  <c r="X30" i="17" l="1"/>
  <c r="I95" i="20" s="1"/>
  <c r="X38" i="17"/>
  <c r="H103" i="20" s="1"/>
  <c r="X31" i="17"/>
  <c r="I96" i="20" s="1"/>
  <c r="X39" i="17"/>
  <c r="H104" i="20" s="1"/>
  <c r="X26" i="17"/>
  <c r="I91" i="20" s="1"/>
  <c r="Y33" i="17"/>
  <c r="H98" i="20"/>
  <c r="I98" i="20"/>
  <c r="H101" i="20"/>
  <c r="I101" i="20"/>
  <c r="Z38" i="17"/>
  <c r="AA38" i="17" s="1"/>
  <c r="AB38" i="17" s="1"/>
  <c r="H93" i="20"/>
  <c r="I93" i="20"/>
  <c r="U33" i="17"/>
  <c r="H99" i="20"/>
  <c r="I99" i="20"/>
  <c r="H102" i="20"/>
  <c r="I102" i="20"/>
  <c r="H92" i="20"/>
  <c r="I92" i="20"/>
  <c r="U27" i="17"/>
  <c r="Y38" i="17"/>
  <c r="Z33" i="17"/>
  <c r="Z30" i="17"/>
  <c r="C30" i="20" s="1"/>
  <c r="Y30" i="17"/>
  <c r="X32" i="17"/>
  <c r="Y31" i="17"/>
  <c r="Z31" i="17"/>
  <c r="Y27" i="17"/>
  <c r="Z27" i="17"/>
  <c r="Y26" i="17"/>
  <c r="Z26" i="17"/>
  <c r="Y37" i="17"/>
  <c r="Z37" i="17"/>
  <c r="Y34" i="17"/>
  <c r="Z34" i="17"/>
  <c r="U32" i="17"/>
  <c r="Y39" i="17"/>
  <c r="Z39" i="17"/>
  <c r="Y36" i="17"/>
  <c r="Z36" i="17"/>
  <c r="Y28" i="17"/>
  <c r="Z28" i="17"/>
  <c r="X29" i="17"/>
  <c r="U36" i="17"/>
  <c r="U28" i="17"/>
  <c r="X40" i="17"/>
  <c r="U35" i="17"/>
  <c r="X35" i="17"/>
  <c r="U37" i="17"/>
  <c r="N12" i="17"/>
  <c r="N13" i="17"/>
  <c r="N14" i="17"/>
  <c r="N15" i="17"/>
  <c r="N16" i="17"/>
  <c r="N17" i="17"/>
  <c r="N18" i="17"/>
  <c r="N19" i="17"/>
  <c r="N21" i="17"/>
  <c r="N22" i="17"/>
  <c r="N23" i="17"/>
  <c r="N24" i="17"/>
  <c r="N25" i="17"/>
  <c r="N41" i="17"/>
  <c r="H95" i="20" l="1"/>
  <c r="H96" i="20"/>
  <c r="I103" i="20"/>
  <c r="I104" i="20"/>
  <c r="H91" i="20"/>
  <c r="C27" i="19"/>
  <c r="D27" i="19" s="1"/>
  <c r="F33" i="20" s="1"/>
  <c r="C33" i="20"/>
  <c r="C21" i="19"/>
  <c r="D21" i="19" s="1"/>
  <c r="F27" i="20" s="1"/>
  <c r="C27" i="20"/>
  <c r="H94" i="20"/>
  <c r="I94" i="20"/>
  <c r="C33" i="19"/>
  <c r="E39" i="20" s="1"/>
  <c r="D39" i="20" s="1"/>
  <c r="C39" i="20"/>
  <c r="C22" i="19"/>
  <c r="D22" i="19" s="1"/>
  <c r="F28" i="20" s="1"/>
  <c r="C28" i="20"/>
  <c r="C28" i="19"/>
  <c r="E34" i="20" s="1"/>
  <c r="D34" i="20" s="1"/>
  <c r="C34" i="20"/>
  <c r="C25" i="19"/>
  <c r="E31" i="20" s="1"/>
  <c r="D31" i="20" s="1"/>
  <c r="C31" i="20"/>
  <c r="C20" i="19"/>
  <c r="E26" i="20" s="1"/>
  <c r="D26" i="20" s="1"/>
  <c r="C26" i="20"/>
  <c r="C32" i="19"/>
  <c r="C38" i="20"/>
  <c r="I100" i="20"/>
  <c r="H100" i="20"/>
  <c r="C30" i="19"/>
  <c r="E36" i="20" s="1"/>
  <c r="D36" i="20" s="1"/>
  <c r="C36" i="20"/>
  <c r="C31" i="19"/>
  <c r="D31" i="19" s="1"/>
  <c r="F37" i="20" s="1"/>
  <c r="C37" i="20"/>
  <c r="Z32" i="17"/>
  <c r="AA32" i="17" s="1"/>
  <c r="AB32" i="17" s="1"/>
  <c r="I97" i="20"/>
  <c r="H97" i="20"/>
  <c r="H105" i="20"/>
  <c r="I105" i="20"/>
  <c r="AA33" i="17"/>
  <c r="AB33" i="17" s="1"/>
  <c r="AA30" i="17"/>
  <c r="AB30" i="17" s="1"/>
  <c r="C24" i="19"/>
  <c r="Y32" i="17"/>
  <c r="AA26" i="17"/>
  <c r="AB26" i="17" s="1"/>
  <c r="AA34" i="17"/>
  <c r="AB34" i="17" s="1"/>
  <c r="AA31" i="17"/>
  <c r="AB31" i="17" s="1"/>
  <c r="AA27" i="17"/>
  <c r="AB27" i="17" s="1"/>
  <c r="Y40" i="17"/>
  <c r="Z40" i="17"/>
  <c r="AA37" i="17"/>
  <c r="AB37" i="17" s="1"/>
  <c r="AA28" i="17"/>
  <c r="AB28" i="17" s="1"/>
  <c r="AA36" i="17"/>
  <c r="AB36" i="17" s="1"/>
  <c r="AA39" i="17"/>
  <c r="AB39" i="17" s="1"/>
  <c r="Y29" i="17"/>
  <c r="Z29" i="17"/>
  <c r="Y35" i="17"/>
  <c r="Z35" i="17"/>
  <c r="E28" i="20" l="1"/>
  <c r="D28" i="20" s="1"/>
  <c r="E33" i="20"/>
  <c r="D33" i="20" s="1"/>
  <c r="E37" i="20"/>
  <c r="D37" i="20" s="1"/>
  <c r="D28" i="19"/>
  <c r="F34" i="20" s="1"/>
  <c r="D25" i="19"/>
  <c r="F31" i="20" s="1"/>
  <c r="E27" i="20"/>
  <c r="D27" i="20" s="1"/>
  <c r="D33" i="19"/>
  <c r="F39" i="20" s="1"/>
  <c r="C29" i="19"/>
  <c r="E35" i="20" s="1"/>
  <c r="D35" i="20" s="1"/>
  <c r="C35" i="20"/>
  <c r="D20" i="19"/>
  <c r="F26" i="20" s="1"/>
  <c r="D30" i="19"/>
  <c r="F36" i="20" s="1"/>
  <c r="C23" i="19"/>
  <c r="D23" i="19" s="1"/>
  <c r="F29" i="20" s="1"/>
  <c r="C29" i="20"/>
  <c r="C26" i="19"/>
  <c r="C32" i="20"/>
  <c r="D32" i="19"/>
  <c r="F38" i="20" s="1"/>
  <c r="E38" i="20"/>
  <c r="D38" i="20" s="1"/>
  <c r="C40" i="20"/>
  <c r="D24" i="19"/>
  <c r="F30" i="20" s="1"/>
  <c r="E30" i="20"/>
  <c r="D30" i="20" s="1"/>
  <c r="AA40" i="17"/>
  <c r="AB40" i="17" s="1"/>
  <c r="AA29" i="17"/>
  <c r="AB29" i="17" s="1"/>
  <c r="AA35" i="17"/>
  <c r="AB35" i="17" s="1"/>
  <c r="V10" i="17"/>
  <c r="V11" i="17"/>
  <c r="V12" i="17"/>
  <c r="V13" i="17"/>
  <c r="V14" i="17"/>
  <c r="V15" i="17"/>
  <c r="V16" i="17"/>
  <c r="V17" i="17"/>
  <c r="V18" i="17"/>
  <c r="V19" i="17"/>
  <c r="V21" i="17"/>
  <c r="V22" i="17"/>
  <c r="D29" i="19" l="1"/>
  <c r="F35" i="20" s="1"/>
  <c r="E29" i="20"/>
  <c r="D29" i="20" s="1"/>
  <c r="D26" i="19"/>
  <c r="F32" i="20" s="1"/>
  <c r="E32" i="20"/>
  <c r="D32" i="20" s="1"/>
  <c r="B46" i="19"/>
  <c r="B47" i="19"/>
  <c r="B48" i="19"/>
  <c r="B49" i="19"/>
  <c r="B50" i="19"/>
  <c r="B51" i="19"/>
  <c r="D51" i="19" s="1"/>
  <c r="B52" i="19"/>
  <c r="D52" i="19" s="1"/>
  <c r="B53" i="19"/>
  <c r="D53" i="19" s="1"/>
  <c r="B54" i="19"/>
  <c r="D54" i="19" s="1"/>
  <c r="C54" i="19" s="1"/>
  <c r="B55" i="19"/>
  <c r="D55" i="19" s="1"/>
  <c r="C55" i="19" s="1"/>
  <c r="B56" i="19"/>
  <c r="D56" i="19" s="1"/>
  <c r="C56" i="19" s="1"/>
  <c r="B57" i="19"/>
  <c r="D57" i="19" s="1"/>
  <c r="C57" i="19" s="1"/>
  <c r="B58" i="19"/>
  <c r="D58" i="19" s="1"/>
  <c r="C58" i="19" s="1"/>
  <c r="B59" i="19"/>
  <c r="D59" i="19" s="1"/>
  <c r="C59" i="19" s="1"/>
  <c r="B45" i="19"/>
  <c r="C53" i="19" l="1"/>
  <c r="C52" i="19"/>
  <c r="C51" i="19"/>
  <c r="E56" i="19"/>
  <c r="E57" i="19"/>
  <c r="E55" i="19"/>
  <c r="E51" i="19"/>
  <c r="E52" i="19"/>
  <c r="E53" i="19"/>
  <c r="E59" i="19"/>
  <c r="E54" i="19"/>
  <c r="E58" i="19"/>
  <c r="B4" i="19" l="1"/>
  <c r="B10" i="20" s="1"/>
  <c r="B5" i="19"/>
  <c r="B11" i="20" s="1"/>
  <c r="B6" i="19"/>
  <c r="B12" i="20" s="1"/>
  <c r="B7" i="19"/>
  <c r="B13" i="20" s="1"/>
  <c r="B8" i="19"/>
  <c r="B14" i="20" s="1"/>
  <c r="B9" i="19"/>
  <c r="B15" i="20" s="1"/>
  <c r="B10" i="19"/>
  <c r="B16" i="20" s="1"/>
  <c r="B11" i="19"/>
  <c r="B17" i="20" s="1"/>
  <c r="B12" i="19"/>
  <c r="B18" i="20" s="1"/>
  <c r="B13" i="19"/>
  <c r="B19" i="20" s="1"/>
  <c r="B14" i="19"/>
  <c r="B20" i="20" s="1"/>
  <c r="B15" i="19"/>
  <c r="B21" i="20" s="1"/>
  <c r="B16" i="19"/>
  <c r="B22" i="20" s="1"/>
  <c r="B17" i="19"/>
  <c r="B23" i="20" s="1"/>
  <c r="B18" i="19"/>
  <c r="B24" i="20" s="1"/>
  <c r="B19" i="19"/>
  <c r="B25" i="20" s="1"/>
  <c r="B35" i="19"/>
  <c r="B41" i="20" s="1"/>
  <c r="B36" i="19"/>
  <c r="B42" i="20" s="1"/>
  <c r="B37" i="19"/>
  <c r="B43" i="20" s="1"/>
  <c r="B3" i="19"/>
  <c r="B9" i="20" s="1"/>
  <c r="A3" i="19"/>
  <c r="A4" i="19"/>
  <c r="A5" i="19"/>
  <c r="A6" i="19"/>
  <c r="A7" i="19"/>
  <c r="A8" i="19"/>
  <c r="A9" i="19"/>
  <c r="A10" i="19"/>
  <c r="A11" i="19"/>
  <c r="A12" i="19"/>
  <c r="A13" i="19"/>
  <c r="A14" i="19"/>
  <c r="A15" i="19"/>
  <c r="A16" i="19"/>
  <c r="A17" i="19"/>
  <c r="A18" i="19"/>
  <c r="A19" i="19"/>
  <c r="A35" i="19"/>
  <c r="A36" i="19"/>
  <c r="A37" i="19"/>
  <c r="H37" i="16" l="1"/>
  <c r="H38" i="16"/>
  <c r="H19" i="16"/>
  <c r="G19" i="16" s="1"/>
  <c r="H20" i="16"/>
  <c r="G20" i="16" s="1"/>
  <c r="G37" i="16" l="1"/>
  <c r="G38" i="16"/>
  <c r="Y10" i="17" l="1"/>
  <c r="Y11" i="17"/>
  <c r="Y12" i="17"/>
  <c r="Y15" i="17"/>
  <c r="Y17" i="17"/>
  <c r="Y19" i="17"/>
  <c r="Y21" i="17"/>
  <c r="Y22" i="17"/>
  <c r="W43" i="17" l="1"/>
  <c r="W42" i="17"/>
  <c r="W41" i="17"/>
  <c r="W25" i="17"/>
  <c r="W24" i="17"/>
  <c r="W23" i="17"/>
  <c r="W22" i="17"/>
  <c r="W21" i="17"/>
  <c r="W19" i="17"/>
  <c r="W17" i="17"/>
  <c r="W15" i="17"/>
  <c r="W12" i="17"/>
  <c r="W11" i="17"/>
  <c r="W10" i="17"/>
  <c r="W9" i="17"/>
  <c r="J10" i="17" l="1"/>
  <c r="R10" i="17" s="1"/>
  <c r="J11" i="17"/>
  <c r="R11" i="17" s="1"/>
  <c r="J12" i="17"/>
  <c r="J13" i="17"/>
  <c r="J14" i="17"/>
  <c r="D79" i="20" s="1"/>
  <c r="J15" i="17"/>
  <c r="J16" i="17"/>
  <c r="J17" i="17"/>
  <c r="J18" i="17"/>
  <c r="J19" i="17"/>
  <c r="J20" i="17"/>
  <c r="R20" i="17" s="1"/>
  <c r="J21" i="17"/>
  <c r="J22" i="17"/>
  <c r="J23" i="17"/>
  <c r="J24" i="17"/>
  <c r="J25" i="17"/>
  <c r="J41" i="17"/>
  <c r="J42" i="17"/>
  <c r="J43" i="17"/>
  <c r="J9" i="17"/>
  <c r="D74" i="20" s="1"/>
  <c r="E11" i="19" l="1"/>
  <c r="F11" i="19" s="1"/>
  <c r="H11" i="19" s="1"/>
  <c r="D82" i="20"/>
  <c r="D48" i="19"/>
  <c r="C48" i="19" s="1"/>
  <c r="E48" i="19" s="1"/>
  <c r="D81" i="20"/>
  <c r="E9" i="19"/>
  <c r="F9" i="19" s="1"/>
  <c r="H9" i="19" s="1"/>
  <c r="D80" i="20"/>
  <c r="E15" i="19"/>
  <c r="F15" i="19" s="1"/>
  <c r="H15" i="19" s="1"/>
  <c r="D86" i="20"/>
  <c r="E36" i="19"/>
  <c r="D107" i="20"/>
  <c r="E19" i="19"/>
  <c r="D90" i="20"/>
  <c r="E18" i="19"/>
  <c r="D89" i="20"/>
  <c r="E17" i="19"/>
  <c r="D88" i="20"/>
  <c r="E16" i="19"/>
  <c r="F16" i="19" s="1"/>
  <c r="H16" i="19" s="1"/>
  <c r="D87" i="20"/>
  <c r="D46" i="19"/>
  <c r="D78" i="20"/>
  <c r="E37" i="19"/>
  <c r="D108" i="20"/>
  <c r="D50" i="19"/>
  <c r="D85" i="20"/>
  <c r="E6" i="19"/>
  <c r="F6" i="19" s="1"/>
  <c r="H6" i="19" s="1"/>
  <c r="D77" i="20"/>
  <c r="E13" i="19"/>
  <c r="F13" i="19" s="1"/>
  <c r="H13" i="19" s="1"/>
  <c r="D84" i="20"/>
  <c r="E5" i="19"/>
  <c r="F5" i="19" s="1"/>
  <c r="H5" i="19" s="1"/>
  <c r="D76" i="20"/>
  <c r="E35" i="19"/>
  <c r="D106" i="20"/>
  <c r="D49" i="19"/>
  <c r="D83" i="20"/>
  <c r="E4" i="19"/>
  <c r="G4" i="19" s="1"/>
  <c r="I4" i="19" s="1"/>
  <c r="D75" i="20"/>
  <c r="D45" i="19"/>
  <c r="C45" i="19" s="1"/>
  <c r="E45" i="19" s="1"/>
  <c r="E8" i="19"/>
  <c r="D47" i="19"/>
  <c r="G16" i="19"/>
  <c r="I16" i="19" s="1"/>
  <c r="E14" i="19"/>
  <c r="E10" i="19"/>
  <c r="E3" i="19"/>
  <c r="E12" i="19"/>
  <c r="E7" i="19"/>
  <c r="Z10" i="17"/>
  <c r="Z11" i="17"/>
  <c r="Z12" i="17"/>
  <c r="Z15" i="17"/>
  <c r="Z19" i="17"/>
  <c r="Z21" i="17"/>
  <c r="Z22" i="17"/>
  <c r="O12" i="17"/>
  <c r="O21" i="17"/>
  <c r="O23" i="17"/>
  <c r="O24" i="17"/>
  <c r="O25" i="17"/>
  <c r="G13" i="19" l="1"/>
  <c r="I13" i="19" s="1"/>
  <c r="G11" i="19"/>
  <c r="I11" i="19" s="1"/>
  <c r="G6" i="19"/>
  <c r="I6" i="19" s="1"/>
  <c r="G5" i="19"/>
  <c r="I5" i="19" s="1"/>
  <c r="F4" i="19"/>
  <c r="H4" i="19" s="1"/>
  <c r="G9" i="19"/>
  <c r="I9" i="19" s="1"/>
  <c r="G15" i="19"/>
  <c r="I15" i="19" s="1"/>
  <c r="AA12" i="17"/>
  <c r="C12" i="20"/>
  <c r="AA10" i="17"/>
  <c r="C10" i="20"/>
  <c r="AA11" i="17"/>
  <c r="C11" i="20"/>
  <c r="AA21" i="17"/>
  <c r="C21" i="20"/>
  <c r="AA22" i="17"/>
  <c r="C22" i="20"/>
  <c r="AA19" i="17"/>
  <c r="C19" i="20"/>
  <c r="AA15" i="17"/>
  <c r="C15" i="20"/>
  <c r="C5" i="19"/>
  <c r="C4" i="19"/>
  <c r="C16" i="19"/>
  <c r="C15" i="19"/>
  <c r="C6" i="19"/>
  <c r="C13" i="19"/>
  <c r="C9" i="19"/>
  <c r="E39" i="19"/>
  <c r="AB10" i="17"/>
  <c r="AB22" i="17"/>
  <c r="AB19" i="17"/>
  <c r="AB21" i="17"/>
  <c r="AB15" i="17"/>
  <c r="AB12" i="17"/>
  <c r="AB11" i="17"/>
  <c r="J7" i="17"/>
  <c r="D60" i="19" s="1"/>
  <c r="E60" i="19" s="1"/>
  <c r="O13" i="17"/>
  <c r="M10" i="17"/>
  <c r="G75" i="20" s="1"/>
  <c r="M11" i="17"/>
  <c r="G76" i="20" s="1"/>
  <c r="M12" i="17"/>
  <c r="G77" i="20" s="1"/>
  <c r="M15" i="17"/>
  <c r="G80" i="20" s="1"/>
  <c r="M19" i="17"/>
  <c r="G84" i="20" s="1"/>
  <c r="M21" i="17"/>
  <c r="G86" i="20" s="1"/>
  <c r="M22" i="17"/>
  <c r="G87" i="20" s="1"/>
  <c r="L10" i="17"/>
  <c r="L11" i="17"/>
  <c r="L12" i="17"/>
  <c r="L13" i="17"/>
  <c r="L14" i="17"/>
  <c r="L15" i="17"/>
  <c r="L16" i="17"/>
  <c r="L17" i="17"/>
  <c r="L18" i="17"/>
  <c r="L19" i="17"/>
  <c r="L21" i="17"/>
  <c r="L22" i="17"/>
  <c r="L23" i="17"/>
  <c r="M23" i="17" s="1"/>
  <c r="G88" i="20" s="1"/>
  <c r="L24" i="17"/>
  <c r="M24" i="17" s="1"/>
  <c r="G89" i="20" s="1"/>
  <c r="L25" i="17"/>
  <c r="M25" i="17" s="1"/>
  <c r="G90" i="20" s="1"/>
  <c r="L41" i="17"/>
  <c r="M41" i="17" s="1"/>
  <c r="G106" i="20" s="1"/>
  <c r="L42" i="17"/>
  <c r="M42" i="17" s="1"/>
  <c r="G107" i="20" s="1"/>
  <c r="L43" i="17"/>
  <c r="M43" i="17" s="1"/>
  <c r="G108" i="20" s="1"/>
  <c r="L9" i="17"/>
  <c r="F74" i="20" s="1"/>
  <c r="Q41" i="17" l="1"/>
  <c r="F106" i="20"/>
  <c r="Q10" i="17"/>
  <c r="F75" i="20"/>
  <c r="Q17" i="17"/>
  <c r="F82" i="20"/>
  <c r="Q15" i="17"/>
  <c r="F80" i="20"/>
  <c r="Q18" i="17"/>
  <c r="F83" i="20"/>
  <c r="Q16" i="17"/>
  <c r="F81" i="20"/>
  <c r="Q23" i="17"/>
  <c r="F88" i="20"/>
  <c r="Q22" i="17"/>
  <c r="F87" i="20"/>
  <c r="Q13" i="17"/>
  <c r="F78" i="20"/>
  <c r="Q43" i="17"/>
  <c r="F108" i="20"/>
  <c r="F85" i="20"/>
  <c r="Q12" i="17"/>
  <c r="F77" i="20"/>
  <c r="Q25" i="17"/>
  <c r="F90" i="20"/>
  <c r="Q24" i="17"/>
  <c r="F89" i="20"/>
  <c r="Q14" i="17"/>
  <c r="F79" i="20"/>
  <c r="Q21" i="17"/>
  <c r="F86" i="20"/>
  <c r="Q42" i="17"/>
  <c r="F107" i="20"/>
  <c r="Q19" i="17"/>
  <c r="F84" i="20"/>
  <c r="Q11" i="17"/>
  <c r="F76" i="20"/>
  <c r="D15" i="19"/>
  <c r="F21" i="20" s="1"/>
  <c r="E21" i="20"/>
  <c r="D21" i="20" s="1"/>
  <c r="D13" i="19"/>
  <c r="F19" i="20" s="1"/>
  <c r="E19" i="20"/>
  <c r="D19" i="20" s="1"/>
  <c r="D5" i="19"/>
  <c r="F11" i="20" s="1"/>
  <c r="E11" i="20"/>
  <c r="D11" i="20" s="1"/>
  <c r="D16" i="19"/>
  <c r="F22" i="20" s="1"/>
  <c r="E22" i="20"/>
  <c r="D22" i="20" s="1"/>
  <c r="D9" i="19"/>
  <c r="F15" i="20" s="1"/>
  <c r="E15" i="20"/>
  <c r="D15" i="20" s="1"/>
  <c r="D4" i="19"/>
  <c r="F10" i="20" s="1"/>
  <c r="E10" i="20"/>
  <c r="D10" i="20" s="1"/>
  <c r="D6" i="19"/>
  <c r="F12" i="20" s="1"/>
  <c r="E12" i="20"/>
  <c r="D12" i="20" s="1"/>
  <c r="G85" i="20"/>
  <c r="M18" i="17"/>
  <c r="G83" i="20" s="1"/>
  <c r="M14" i="17"/>
  <c r="G79" i="20" s="1"/>
  <c r="M17" i="17"/>
  <c r="G82" i="20" s="1"/>
  <c r="M16" i="17"/>
  <c r="G81" i="20" s="1"/>
  <c r="M9" i="17"/>
  <c r="G74" i="20" s="1"/>
  <c r="M13" i="17"/>
  <c r="G78" i="20" s="1"/>
  <c r="S7" i="17"/>
  <c r="R12" i="17" l="1"/>
  <c r="R15" i="17"/>
  <c r="R19" i="17"/>
  <c r="R21" i="17"/>
  <c r="R22" i="17"/>
  <c r="O89" i="15" l="1"/>
  <c r="P89" i="15" s="1"/>
  <c r="O88" i="15"/>
  <c r="P88" i="15" s="1"/>
  <c r="O87" i="15"/>
  <c r="P87" i="15" s="1"/>
  <c r="O86" i="15"/>
  <c r="P86" i="15" s="1"/>
  <c r="O85" i="15"/>
  <c r="P85" i="15" s="1"/>
  <c r="O84" i="15"/>
  <c r="P84" i="15" s="1"/>
  <c r="O83" i="15"/>
  <c r="P83" i="15" s="1"/>
  <c r="O82" i="15"/>
  <c r="P82" i="15" s="1"/>
  <c r="O81" i="15"/>
  <c r="P81" i="15" s="1"/>
  <c r="O80" i="15"/>
  <c r="P80" i="15" s="1"/>
  <c r="O79" i="15"/>
  <c r="P79" i="15" s="1"/>
  <c r="O78" i="15"/>
  <c r="P78" i="15" s="1"/>
  <c r="O77" i="15"/>
  <c r="P77" i="15" s="1"/>
  <c r="O76" i="15"/>
  <c r="P76" i="15" s="1"/>
  <c r="O75" i="15"/>
  <c r="P75" i="15" s="1"/>
  <c r="O74" i="15"/>
  <c r="P74" i="15" s="1"/>
  <c r="O73" i="15"/>
  <c r="P73" i="15" s="1"/>
  <c r="O72" i="15"/>
  <c r="P72" i="15" s="1"/>
  <c r="O71" i="15"/>
  <c r="P71" i="15" s="1"/>
  <c r="O70" i="15"/>
  <c r="P70" i="15" s="1"/>
  <c r="O69" i="15"/>
  <c r="P69" i="15" s="1"/>
  <c r="O68" i="15"/>
  <c r="P68" i="15" s="1"/>
  <c r="O67" i="15"/>
  <c r="P67" i="15" s="1"/>
  <c r="O66" i="15"/>
  <c r="P66" i="15" s="1"/>
  <c r="O65" i="15"/>
  <c r="P65" i="15" s="1"/>
  <c r="O64" i="15"/>
  <c r="P64" i="15" s="1"/>
  <c r="O63" i="15"/>
  <c r="P63" i="15" s="1"/>
  <c r="O62" i="15"/>
  <c r="P62" i="15" s="1"/>
  <c r="O61" i="15"/>
  <c r="P61" i="15" s="1"/>
  <c r="O60" i="15"/>
  <c r="P60" i="15" s="1"/>
  <c r="O59" i="15"/>
  <c r="P59" i="15" s="1"/>
  <c r="O58" i="15"/>
  <c r="P58" i="15" s="1"/>
  <c r="O57" i="15"/>
  <c r="P57" i="15" s="1"/>
  <c r="O56" i="15"/>
  <c r="P56" i="15" s="1"/>
  <c r="O55" i="15"/>
  <c r="P55" i="15" s="1"/>
  <c r="O54" i="15"/>
  <c r="P54" i="15" s="1"/>
  <c r="O53" i="15"/>
  <c r="P53" i="15" s="1"/>
  <c r="O52" i="15"/>
  <c r="P52" i="15" s="1"/>
  <c r="O51" i="15"/>
  <c r="P51" i="15" s="1"/>
  <c r="O50" i="15"/>
  <c r="P50" i="15" s="1"/>
  <c r="O49" i="15"/>
  <c r="P49" i="15" s="1"/>
  <c r="O48" i="15"/>
  <c r="P48" i="15" s="1"/>
  <c r="O47" i="15"/>
  <c r="P47" i="15" s="1"/>
  <c r="O46" i="15"/>
  <c r="P46" i="15" s="1"/>
  <c r="O45" i="15"/>
  <c r="P45" i="15" s="1"/>
  <c r="O44" i="15"/>
  <c r="P44" i="15" s="1"/>
  <c r="O43" i="15"/>
  <c r="P43" i="15" s="1"/>
  <c r="O42" i="15"/>
  <c r="P42" i="15" s="1"/>
  <c r="O41" i="15"/>
  <c r="P41" i="15" s="1"/>
  <c r="O40" i="15"/>
  <c r="P40" i="15" s="1"/>
  <c r="O39" i="15"/>
  <c r="P39" i="15" s="1"/>
  <c r="P38" i="15"/>
  <c r="O37" i="15"/>
  <c r="P37" i="15" s="1"/>
  <c r="O36" i="15"/>
  <c r="P36" i="15" s="1"/>
  <c r="O35" i="15"/>
  <c r="P35" i="15" s="1"/>
  <c r="O34" i="15"/>
  <c r="P34" i="15" s="1"/>
  <c r="O33" i="15"/>
  <c r="P33" i="15" s="1"/>
  <c r="O32" i="15"/>
  <c r="P32" i="15" s="1"/>
  <c r="O31" i="15"/>
  <c r="P31" i="15" s="1"/>
  <c r="O30" i="15"/>
  <c r="P30" i="15" s="1"/>
  <c r="O29" i="15"/>
  <c r="P29" i="15" s="1"/>
  <c r="O28" i="15"/>
  <c r="P28" i="15" s="1"/>
  <c r="O27" i="15"/>
  <c r="P27" i="15" s="1"/>
  <c r="O26" i="15"/>
  <c r="P26" i="15" s="1"/>
  <c r="O25" i="15"/>
  <c r="P25" i="15" s="1"/>
  <c r="O24" i="15"/>
  <c r="P24" i="15" s="1"/>
  <c r="O23" i="15"/>
  <c r="P23" i="15" s="1"/>
  <c r="O22" i="15"/>
  <c r="P22" i="15" s="1"/>
  <c r="O21" i="15"/>
  <c r="P21" i="15" s="1"/>
  <c r="O20" i="15"/>
  <c r="P20" i="15" s="1"/>
  <c r="O19" i="15"/>
  <c r="P19" i="15" s="1"/>
  <c r="O18" i="15"/>
  <c r="P18" i="15" s="1"/>
  <c r="O17" i="15"/>
  <c r="P17" i="15" s="1"/>
  <c r="O16" i="15"/>
  <c r="P16" i="15" s="1"/>
  <c r="O15" i="15"/>
  <c r="P15" i="15" s="1"/>
  <c r="O14" i="15"/>
  <c r="P14" i="15" s="1"/>
  <c r="O13" i="15"/>
  <c r="P13" i="15" s="1"/>
  <c r="O12" i="15"/>
  <c r="P12" i="15" s="1"/>
  <c r="O11" i="15"/>
  <c r="P11" i="15" s="1"/>
  <c r="O10" i="15"/>
  <c r="P10" i="15" s="1"/>
  <c r="O9" i="15"/>
  <c r="P9" i="15" s="1"/>
  <c r="O8" i="15"/>
  <c r="P8" i="15" s="1"/>
  <c r="O7" i="15"/>
  <c r="P7" i="15" s="1"/>
  <c r="O6" i="15"/>
  <c r="P6" i="15" s="1"/>
  <c r="O5" i="15"/>
  <c r="P5" i="15" s="1"/>
  <c r="N9" i="17" l="1"/>
  <c r="N10" i="17"/>
  <c r="O10" i="17" s="1"/>
  <c r="N11" i="17"/>
  <c r="O11" i="17" s="1"/>
  <c r="P12" i="17"/>
  <c r="O16" i="17"/>
  <c r="O17" i="17"/>
  <c r="O18" i="17"/>
  <c r="P21" i="17"/>
  <c r="P23" i="17"/>
  <c r="P24" i="17"/>
  <c r="P25" i="17"/>
  <c r="O41" i="17"/>
  <c r="N42" i="17"/>
  <c r="N43" i="17"/>
  <c r="O43" i="17" s="1"/>
  <c r="H18" i="16"/>
  <c r="C46" i="19" s="1"/>
  <c r="E46" i="19" s="1"/>
  <c r="H21" i="16"/>
  <c r="H23" i="16"/>
  <c r="G23" i="16" s="1"/>
  <c r="H29" i="16"/>
  <c r="C49" i="19" s="1"/>
  <c r="E49" i="19" s="1"/>
  <c r="H30" i="16"/>
  <c r="G30" i="16" s="1"/>
  <c r="H32" i="16"/>
  <c r="H39" i="16"/>
  <c r="G42" i="16"/>
  <c r="H42" i="16" s="1"/>
  <c r="C47" i="19" s="1"/>
  <c r="E47" i="19" s="1"/>
  <c r="G43" i="16"/>
  <c r="H43" i="16" s="1"/>
  <c r="G44" i="16"/>
  <c r="H44" i="16" s="1"/>
  <c r="G45" i="16"/>
  <c r="H45" i="16" s="1"/>
  <c r="C50" i="19" s="1"/>
  <c r="E50" i="19" s="1"/>
  <c r="G46" i="16"/>
  <c r="H46" i="16" s="1"/>
  <c r="G47" i="16"/>
  <c r="H47" i="16" s="1"/>
  <c r="G48" i="16"/>
  <c r="H48" i="16" s="1"/>
  <c r="G49" i="16"/>
  <c r="C57" i="20" s="1"/>
  <c r="H51" i="16"/>
  <c r="H52" i="16"/>
  <c r="G52" i="16" s="1"/>
  <c r="H53" i="16"/>
  <c r="G53" i="16" s="1"/>
  <c r="H54" i="16"/>
  <c r="G54" i="16" s="1"/>
  <c r="H55" i="16"/>
  <c r="G55" i="16" s="1"/>
  <c r="G56" i="16"/>
  <c r="G57" i="16"/>
  <c r="G58" i="16"/>
  <c r="G59" i="16"/>
  <c r="G60" i="16"/>
  <c r="G61" i="16"/>
  <c r="G62" i="16"/>
  <c r="G63" i="16"/>
  <c r="R25" i="17" l="1"/>
  <c r="V25" i="17" s="1"/>
  <c r="R24" i="17"/>
  <c r="V24" i="17" s="1"/>
  <c r="R23" i="17"/>
  <c r="T23" i="17" s="1"/>
  <c r="C59" i="20"/>
  <c r="G29" i="16"/>
  <c r="G32" i="16"/>
  <c r="G18" i="16"/>
  <c r="H17" i="16"/>
  <c r="D53" i="20" s="1"/>
  <c r="T25" i="17"/>
  <c r="T24" i="17"/>
  <c r="T12" i="17"/>
  <c r="X12" i="17" s="1"/>
  <c r="T21" i="17"/>
  <c r="U21" i="17" s="1"/>
  <c r="O42" i="17"/>
  <c r="P42" i="17" s="1"/>
  <c r="O22" i="17"/>
  <c r="P22" i="17" s="1"/>
  <c r="O15" i="17"/>
  <c r="P15" i="17" s="1"/>
  <c r="O19" i="17"/>
  <c r="P19" i="17" s="1"/>
  <c r="O14" i="17"/>
  <c r="P14" i="17" s="1"/>
  <c r="O9" i="17"/>
  <c r="P9" i="17" s="1"/>
  <c r="P43" i="17"/>
  <c r="H50" i="16"/>
  <c r="D58" i="20" s="1"/>
  <c r="G40" i="16"/>
  <c r="C56" i="20" s="1"/>
  <c r="H31" i="16"/>
  <c r="D55" i="20" s="1"/>
  <c r="P18" i="17"/>
  <c r="P41" i="17"/>
  <c r="P16" i="17"/>
  <c r="P10" i="17"/>
  <c r="P13" i="17"/>
  <c r="P11" i="17"/>
  <c r="P17" i="17"/>
  <c r="G22" i="16"/>
  <c r="C54" i="20" s="1"/>
  <c r="H40" i="16"/>
  <c r="D56" i="20" s="1"/>
  <c r="H22" i="16"/>
  <c r="D54" i="20" s="1"/>
  <c r="G51" i="16"/>
  <c r="G50" i="16" s="1"/>
  <c r="C58" i="20" s="1"/>
  <c r="G39" i="16"/>
  <c r="G21" i="16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5" i="15"/>
  <c r="R43" i="17" l="1"/>
  <c r="V43" i="17" s="1"/>
  <c r="X24" i="17"/>
  <c r="I89" i="20" s="1"/>
  <c r="V23" i="17"/>
  <c r="X23" i="17" s="1"/>
  <c r="Y24" i="17"/>
  <c r="Z24" i="17"/>
  <c r="X25" i="17"/>
  <c r="H90" i="20" s="1"/>
  <c r="R41" i="17"/>
  <c r="V41" i="17" s="1"/>
  <c r="R42" i="17"/>
  <c r="T42" i="17" s="1"/>
  <c r="U42" i="17" s="1"/>
  <c r="H77" i="20"/>
  <c r="I77" i="20"/>
  <c r="G31" i="16"/>
  <c r="C55" i="20" s="1"/>
  <c r="C60" i="19"/>
  <c r="C61" i="19" s="1"/>
  <c r="U23" i="17"/>
  <c r="G17" i="16"/>
  <c r="C53" i="20" s="1"/>
  <c r="X21" i="17"/>
  <c r="T11" i="17"/>
  <c r="U11" i="17" s="1"/>
  <c r="T43" i="17"/>
  <c r="T10" i="17"/>
  <c r="X10" i="17" s="1"/>
  <c r="T22" i="17"/>
  <c r="U22" i="17" s="1"/>
  <c r="T19" i="17"/>
  <c r="U19" i="17" s="1"/>
  <c r="T15" i="17"/>
  <c r="U15" i="17" s="1"/>
  <c r="R13" i="17"/>
  <c r="W13" i="17" s="1"/>
  <c r="T20" i="17"/>
  <c r="R18" i="17"/>
  <c r="T18" i="17" s="1"/>
  <c r="R16" i="17"/>
  <c r="W16" i="17" s="1"/>
  <c r="R17" i="17"/>
  <c r="R14" i="17"/>
  <c r="W14" i="17" s="1"/>
  <c r="R9" i="17"/>
  <c r="V9" i="17" s="1"/>
  <c r="O7" i="17"/>
  <c r="P7" i="17"/>
  <c r="U24" i="17"/>
  <c r="U25" i="17"/>
  <c r="U12" i="17"/>
  <c r="Q7" i="17"/>
  <c r="H89" i="20" l="1"/>
  <c r="X43" i="17"/>
  <c r="I108" i="20" s="1"/>
  <c r="V42" i="17"/>
  <c r="X42" i="17" s="1"/>
  <c r="Z43" i="17"/>
  <c r="I90" i="20"/>
  <c r="Y23" i="17"/>
  <c r="Z23" i="17"/>
  <c r="I88" i="20"/>
  <c r="H88" i="20"/>
  <c r="C24" i="20"/>
  <c r="AA24" i="17"/>
  <c r="AB24" i="17" s="1"/>
  <c r="T41" i="17"/>
  <c r="U41" i="17" s="1"/>
  <c r="Y25" i="17"/>
  <c r="Z25" i="17"/>
  <c r="H108" i="20"/>
  <c r="I86" i="20"/>
  <c r="H86" i="20"/>
  <c r="H75" i="20"/>
  <c r="I75" i="20"/>
  <c r="V20" i="17"/>
  <c r="V7" i="17" s="1"/>
  <c r="W20" i="17"/>
  <c r="U43" i="17"/>
  <c r="T13" i="17"/>
  <c r="U13" i="17" s="1"/>
  <c r="W18" i="17"/>
  <c r="X18" i="17" s="1"/>
  <c r="X11" i="17"/>
  <c r="T17" i="17"/>
  <c r="X17" i="17" s="1"/>
  <c r="T16" i="17"/>
  <c r="X16" i="17" s="1"/>
  <c r="X19" i="17"/>
  <c r="U18" i="17"/>
  <c r="X22" i="17"/>
  <c r="X15" i="17"/>
  <c r="T14" i="17"/>
  <c r="X14" i="17" s="1"/>
  <c r="T9" i="17"/>
  <c r="U9" i="17" s="1"/>
  <c r="U20" i="17"/>
  <c r="R7" i="17"/>
  <c r="U10" i="17"/>
  <c r="Y43" i="17" l="1"/>
  <c r="X41" i="17"/>
  <c r="AA43" i="17"/>
  <c r="AB43" i="17" s="1"/>
  <c r="C43" i="20"/>
  <c r="Y41" i="17"/>
  <c r="Z41" i="17"/>
  <c r="Y42" i="17"/>
  <c r="Z42" i="17"/>
  <c r="AA23" i="17"/>
  <c r="AB23" i="17" s="1"/>
  <c r="C23" i="20"/>
  <c r="AA25" i="17"/>
  <c r="AB25" i="17" s="1"/>
  <c r="C25" i="20"/>
  <c r="H84" i="20"/>
  <c r="I84" i="20"/>
  <c r="Y16" i="17"/>
  <c r="I81" i="20"/>
  <c r="H81" i="20"/>
  <c r="Y18" i="17"/>
  <c r="I83" i="20"/>
  <c r="H83" i="20"/>
  <c r="H82" i="20"/>
  <c r="I82" i="20"/>
  <c r="H107" i="20"/>
  <c r="I107" i="20"/>
  <c r="H76" i="20"/>
  <c r="I76" i="20"/>
  <c r="Y14" i="17"/>
  <c r="H79" i="20"/>
  <c r="I79" i="20"/>
  <c r="H80" i="20"/>
  <c r="I80" i="20"/>
  <c r="H87" i="20"/>
  <c r="I87" i="20"/>
  <c r="I106" i="20"/>
  <c r="H106" i="20"/>
  <c r="X20" i="17"/>
  <c r="X13" i="17"/>
  <c r="U16" i="17"/>
  <c r="U17" i="17"/>
  <c r="T7" i="17"/>
  <c r="X9" i="17"/>
  <c r="U14" i="17"/>
  <c r="Z17" i="17"/>
  <c r="Z14" i="17"/>
  <c r="C14" i="20" s="1"/>
  <c r="Z18" i="17"/>
  <c r="C18" i="20" s="1"/>
  <c r="W7" i="17"/>
  <c r="H16" i="16" s="1"/>
  <c r="G16" i="16" s="1"/>
  <c r="H15" i="16"/>
  <c r="G15" i="16" s="1"/>
  <c r="E16" i="15"/>
  <c r="F16" i="15" s="1"/>
  <c r="E35" i="15"/>
  <c r="F35" i="15" s="1"/>
  <c r="E36" i="15"/>
  <c r="F36" i="15" s="1"/>
  <c r="E39" i="15"/>
  <c r="F39" i="15" s="1"/>
  <c r="E40" i="15"/>
  <c r="F40" i="15" s="1"/>
  <c r="E43" i="15"/>
  <c r="F43" i="15" s="1"/>
  <c r="E47" i="15"/>
  <c r="F47" i="15" s="1"/>
  <c r="E49" i="15"/>
  <c r="F49" i="15" s="1"/>
  <c r="E51" i="15"/>
  <c r="F51" i="15" s="1"/>
  <c r="E53" i="15"/>
  <c r="F53" i="15" s="1"/>
  <c r="E60" i="15"/>
  <c r="F60" i="15" s="1"/>
  <c r="E65" i="15"/>
  <c r="F65" i="15" s="1"/>
  <c r="E70" i="15"/>
  <c r="F70" i="15" s="1"/>
  <c r="E71" i="15"/>
  <c r="F71" i="15" s="1"/>
  <c r="E72" i="15"/>
  <c r="F72" i="15" s="1"/>
  <c r="E74" i="15"/>
  <c r="F74" i="15" s="1"/>
  <c r="E80" i="15"/>
  <c r="F80" i="15" s="1"/>
  <c r="E81" i="15"/>
  <c r="F81" i="15" s="1"/>
  <c r="E8" i="15"/>
  <c r="F8" i="15" s="1"/>
  <c r="E21" i="15"/>
  <c r="F21" i="15" s="1"/>
  <c r="E23" i="15"/>
  <c r="F23" i="15" s="1"/>
  <c r="E25" i="15"/>
  <c r="F25" i="15" s="1"/>
  <c r="E27" i="15"/>
  <c r="F27" i="15" s="1"/>
  <c r="E41" i="15"/>
  <c r="F41" i="15" s="1"/>
  <c r="E45" i="15"/>
  <c r="F45" i="15" s="1"/>
  <c r="E57" i="15"/>
  <c r="F57" i="15" s="1"/>
  <c r="E58" i="15"/>
  <c r="F58" i="15" s="1"/>
  <c r="E73" i="15"/>
  <c r="F73" i="15" s="1"/>
  <c r="E7" i="15"/>
  <c r="F7" i="15" s="1"/>
  <c r="E79" i="15"/>
  <c r="F79" i="15" s="1"/>
  <c r="E18" i="15"/>
  <c r="F18" i="15" s="1"/>
  <c r="E44" i="15"/>
  <c r="F44" i="15" s="1"/>
  <c r="E28" i="15"/>
  <c r="F28" i="15" s="1"/>
  <c r="E30" i="15"/>
  <c r="F30" i="15" s="1"/>
  <c r="E31" i="15"/>
  <c r="F31" i="15" s="1"/>
  <c r="E52" i="15"/>
  <c r="F52" i="15" s="1"/>
  <c r="E68" i="15"/>
  <c r="F68" i="15" s="1"/>
  <c r="E83" i="15"/>
  <c r="F83" i="15" s="1"/>
  <c r="E87" i="15"/>
  <c r="F87" i="15" s="1"/>
  <c r="E14" i="15"/>
  <c r="F14" i="15" s="1"/>
  <c r="E15" i="15"/>
  <c r="F15" i="15" s="1"/>
  <c r="E32" i="15"/>
  <c r="F32" i="15" s="1"/>
  <c r="E85" i="15"/>
  <c r="F85" i="15" s="1"/>
  <c r="E38" i="15"/>
  <c r="F38" i="15" s="1"/>
  <c r="E42" i="15"/>
  <c r="F42" i="15" s="1"/>
  <c r="E50" i="15"/>
  <c r="F50" i="15" s="1"/>
  <c r="E54" i="15"/>
  <c r="F54" i="15" s="1"/>
  <c r="E56" i="15"/>
  <c r="F56" i="15" s="1"/>
  <c r="E63" i="15"/>
  <c r="F63" i="15" s="1"/>
  <c r="E82" i="15"/>
  <c r="F82" i="15" s="1"/>
  <c r="E5" i="15"/>
  <c r="F5" i="15" s="1"/>
  <c r="E12" i="15"/>
  <c r="F12" i="15" s="1"/>
  <c r="E84" i="15"/>
  <c r="F84" i="15" s="1"/>
  <c r="E26" i="15"/>
  <c r="F26" i="15" s="1"/>
  <c r="E33" i="15"/>
  <c r="F33" i="15" s="1"/>
  <c r="E37" i="15"/>
  <c r="F37" i="15" s="1"/>
  <c r="E64" i="15"/>
  <c r="F64" i="15" s="1"/>
  <c r="E89" i="15"/>
  <c r="F89" i="15" s="1"/>
  <c r="E9" i="15"/>
  <c r="F9" i="15" s="1"/>
  <c r="E10" i="15"/>
  <c r="F10" i="15" s="1"/>
  <c r="E11" i="15"/>
  <c r="F11" i="15" s="1"/>
  <c r="E13" i="15"/>
  <c r="F13" i="15" s="1"/>
  <c r="E19" i="15"/>
  <c r="F19" i="15" s="1"/>
  <c r="E29" i="15"/>
  <c r="F29" i="15" s="1"/>
  <c r="E6" i="15"/>
  <c r="F6" i="15" s="1"/>
  <c r="E17" i="15"/>
  <c r="F17" i="15" s="1"/>
  <c r="E20" i="15"/>
  <c r="F20" i="15" s="1"/>
  <c r="E22" i="15"/>
  <c r="F22" i="15" s="1"/>
  <c r="E24" i="15"/>
  <c r="F24" i="15" s="1"/>
  <c r="E62" i="15"/>
  <c r="F62" i="15" s="1"/>
  <c r="E46" i="15"/>
  <c r="F46" i="15" s="1"/>
  <c r="E55" i="15"/>
  <c r="F55" i="15" s="1"/>
  <c r="E59" i="15"/>
  <c r="F59" i="15" s="1"/>
  <c r="E61" i="15"/>
  <c r="F61" i="15" s="1"/>
  <c r="E66" i="15"/>
  <c r="F66" i="15" s="1"/>
  <c r="E67" i="15"/>
  <c r="F67" i="15" s="1"/>
  <c r="E77" i="15"/>
  <c r="F77" i="15" s="1"/>
  <c r="E48" i="15"/>
  <c r="F48" i="15" s="1"/>
  <c r="E69" i="15"/>
  <c r="F69" i="15" s="1"/>
  <c r="E75" i="15"/>
  <c r="F75" i="15" s="1"/>
  <c r="E86" i="15"/>
  <c r="F86" i="15" s="1"/>
  <c r="E88" i="15"/>
  <c r="F88" i="15" s="1"/>
  <c r="E76" i="15"/>
  <c r="F76" i="15" s="1"/>
  <c r="E78" i="15"/>
  <c r="F78" i="15" s="1"/>
  <c r="E34" i="15"/>
  <c r="F34" i="15" s="1"/>
  <c r="AA42" i="17" l="1"/>
  <c r="AB42" i="17" s="1"/>
  <c r="C42" i="20"/>
  <c r="AA41" i="17"/>
  <c r="AB41" i="17" s="1"/>
  <c r="C41" i="20"/>
  <c r="Y20" i="17"/>
  <c r="H85" i="20"/>
  <c r="I85" i="20"/>
  <c r="AA17" i="17"/>
  <c r="C17" i="20"/>
  <c r="Y9" i="17"/>
  <c r="H74" i="20"/>
  <c r="I74" i="20"/>
  <c r="Y13" i="17"/>
  <c r="H78" i="20"/>
  <c r="I78" i="20"/>
  <c r="Z20" i="17"/>
  <c r="C20" i="20" s="1"/>
  <c r="Z13" i="17"/>
  <c r="C13" i="20" s="1"/>
  <c r="C11" i="19"/>
  <c r="U7" i="17"/>
  <c r="H14" i="16" s="1"/>
  <c r="G14" i="16" s="1"/>
  <c r="Z9" i="17"/>
  <c r="C9" i="20" s="1"/>
  <c r="J59" i="15"/>
  <c r="U59" i="15" s="1"/>
  <c r="I59" i="15"/>
  <c r="T59" i="15" s="1"/>
  <c r="J63" i="15"/>
  <c r="U63" i="15" s="1"/>
  <c r="I63" i="15"/>
  <c r="T63" i="15" s="1"/>
  <c r="J45" i="15"/>
  <c r="U45" i="15" s="1"/>
  <c r="I45" i="15"/>
  <c r="T45" i="15" s="1"/>
  <c r="J16" i="15"/>
  <c r="U16" i="15" s="1"/>
  <c r="I16" i="15"/>
  <c r="T16" i="15" s="1"/>
  <c r="J11" i="15"/>
  <c r="U11" i="15" s="1"/>
  <c r="I11" i="15"/>
  <c r="T11" i="15" s="1"/>
  <c r="J68" i="15"/>
  <c r="U68" i="15" s="1"/>
  <c r="I68" i="15"/>
  <c r="T68" i="15" s="1"/>
  <c r="J70" i="15"/>
  <c r="U70" i="15" s="1"/>
  <c r="I70" i="15"/>
  <c r="T70" i="15" s="1"/>
  <c r="I78" i="15"/>
  <c r="T78" i="15" s="1"/>
  <c r="J78" i="15"/>
  <c r="U78" i="15" s="1"/>
  <c r="J55" i="15"/>
  <c r="U55" i="15" s="1"/>
  <c r="I55" i="15"/>
  <c r="T55" i="15" s="1"/>
  <c r="J10" i="15"/>
  <c r="U10" i="15" s="1"/>
  <c r="I10" i="15"/>
  <c r="T10" i="15" s="1"/>
  <c r="J56" i="15"/>
  <c r="U56" i="15" s="1"/>
  <c r="I56" i="15"/>
  <c r="T56" i="15" s="1"/>
  <c r="J52" i="15"/>
  <c r="U52" i="15" s="1"/>
  <c r="I52" i="15"/>
  <c r="T52" i="15" s="1"/>
  <c r="I41" i="15"/>
  <c r="T41" i="15" s="1"/>
  <c r="J41" i="15"/>
  <c r="U41" i="15" s="1"/>
  <c r="I65" i="15"/>
  <c r="T65" i="15" s="1"/>
  <c r="J65" i="15"/>
  <c r="U65" i="15" s="1"/>
  <c r="I54" i="15"/>
  <c r="T54" i="15" s="1"/>
  <c r="J54" i="15"/>
  <c r="U54" i="15" s="1"/>
  <c r="I89" i="15"/>
  <c r="T89" i="15" s="1"/>
  <c r="J89" i="15"/>
  <c r="U89" i="15" s="1"/>
  <c r="J25" i="15"/>
  <c r="U25" i="15" s="1"/>
  <c r="I25" i="15"/>
  <c r="T25" i="15" s="1"/>
  <c r="I53" i="15"/>
  <c r="T53" i="15" s="1"/>
  <c r="J53" i="15"/>
  <c r="U53" i="15" s="1"/>
  <c r="J34" i="15"/>
  <c r="U34" i="15" s="1"/>
  <c r="I34" i="15"/>
  <c r="T34" i="15" s="1"/>
  <c r="I42" i="15"/>
  <c r="T42" i="15" s="1"/>
  <c r="J42" i="15"/>
  <c r="U42" i="15" s="1"/>
  <c r="J51" i="15"/>
  <c r="U51" i="15" s="1"/>
  <c r="I51" i="15"/>
  <c r="T51" i="15" s="1"/>
  <c r="J76" i="15"/>
  <c r="U76" i="15" s="1"/>
  <c r="I76" i="15"/>
  <c r="T76" i="15" s="1"/>
  <c r="J46" i="15"/>
  <c r="U46" i="15" s="1"/>
  <c r="I46" i="15"/>
  <c r="T46" i="15" s="1"/>
  <c r="J31" i="15"/>
  <c r="U31" i="15" s="1"/>
  <c r="I31" i="15"/>
  <c r="T31" i="15" s="1"/>
  <c r="J27" i="15"/>
  <c r="U27" i="15" s="1"/>
  <c r="I27" i="15"/>
  <c r="T27" i="15" s="1"/>
  <c r="J60" i="15"/>
  <c r="U60" i="15" s="1"/>
  <c r="I60" i="15"/>
  <c r="T60" i="15" s="1"/>
  <c r="J88" i="15"/>
  <c r="U88" i="15" s="1"/>
  <c r="I88" i="15"/>
  <c r="T88" i="15" s="1"/>
  <c r="I50" i="15"/>
  <c r="T50" i="15" s="1"/>
  <c r="J50" i="15"/>
  <c r="U50" i="15" s="1"/>
  <c r="J86" i="15"/>
  <c r="U86" i="15" s="1"/>
  <c r="I86" i="15"/>
  <c r="T86" i="15" s="1"/>
  <c r="J64" i="15"/>
  <c r="U64" i="15" s="1"/>
  <c r="I64" i="15"/>
  <c r="T64" i="15" s="1"/>
  <c r="J28" i="15"/>
  <c r="U28" i="15" s="1"/>
  <c r="I28" i="15"/>
  <c r="T28" i="15" s="1"/>
  <c r="J75" i="15"/>
  <c r="U75" i="15" s="1"/>
  <c r="I75" i="15"/>
  <c r="T75" i="15" s="1"/>
  <c r="J37" i="15"/>
  <c r="U37" i="15" s="1"/>
  <c r="I37" i="15"/>
  <c r="T37" i="15" s="1"/>
  <c r="J44" i="15"/>
  <c r="U44" i="15" s="1"/>
  <c r="I44" i="15"/>
  <c r="T44" i="15" s="1"/>
  <c r="J49" i="15"/>
  <c r="U49" i="15" s="1"/>
  <c r="I49" i="15"/>
  <c r="T49" i="15" s="1"/>
  <c r="J20" i="15"/>
  <c r="U20" i="15" s="1"/>
  <c r="I20" i="15"/>
  <c r="T20" i="15" s="1"/>
  <c r="J85" i="15"/>
  <c r="U85" i="15" s="1"/>
  <c r="I85" i="15"/>
  <c r="T85" i="15" s="1"/>
  <c r="J8" i="15"/>
  <c r="U8" i="15" s="1"/>
  <c r="I8" i="15"/>
  <c r="T8" i="15" s="1"/>
  <c r="J48" i="15"/>
  <c r="U48" i="15" s="1"/>
  <c r="I48" i="15"/>
  <c r="T48" i="15" s="1"/>
  <c r="J26" i="15"/>
  <c r="U26" i="15" s="1"/>
  <c r="I26" i="15"/>
  <c r="T26" i="15" s="1"/>
  <c r="J79" i="15"/>
  <c r="U79" i="15" s="1"/>
  <c r="I79" i="15"/>
  <c r="T79" i="15" s="1"/>
  <c r="J43" i="15"/>
  <c r="U43" i="15" s="1"/>
  <c r="I43" i="15"/>
  <c r="T43" i="15" s="1"/>
  <c r="I6" i="15"/>
  <c r="T6" i="15" s="1"/>
  <c r="J6" i="15"/>
  <c r="U6" i="15" s="1"/>
  <c r="J15" i="15"/>
  <c r="U15" i="15" s="1"/>
  <c r="I15" i="15"/>
  <c r="T15" i="15" s="1"/>
  <c r="J80" i="15"/>
  <c r="U80" i="15" s="1"/>
  <c r="I80" i="15"/>
  <c r="T80" i="15" s="1"/>
  <c r="J67" i="15"/>
  <c r="U67" i="15" s="1"/>
  <c r="I67" i="15"/>
  <c r="T67" i="15" s="1"/>
  <c r="J12" i="15"/>
  <c r="U12" i="15" s="1"/>
  <c r="I12" i="15"/>
  <c r="T12" i="15" s="1"/>
  <c r="J74" i="15"/>
  <c r="U74" i="15" s="1"/>
  <c r="I74" i="15"/>
  <c r="T74" i="15" s="1"/>
  <c r="I66" i="15"/>
  <c r="T66" i="15" s="1"/>
  <c r="J66" i="15"/>
  <c r="U66" i="15" s="1"/>
  <c r="J5" i="15"/>
  <c r="U5" i="15" s="1"/>
  <c r="I5" i="15"/>
  <c r="T5" i="15" s="1"/>
  <c r="J58" i="15"/>
  <c r="U58" i="15" s="1"/>
  <c r="I58" i="15"/>
  <c r="T58" i="15" s="1"/>
  <c r="J72" i="15"/>
  <c r="U72" i="15" s="1"/>
  <c r="I72" i="15"/>
  <c r="T72" i="15" s="1"/>
  <c r="J36" i="15"/>
  <c r="U36" i="15" s="1"/>
  <c r="I36" i="15"/>
  <c r="T36" i="15" s="1"/>
  <c r="J9" i="15"/>
  <c r="U9" i="15" s="1"/>
  <c r="I9" i="15"/>
  <c r="T9" i="15" s="1"/>
  <c r="I62" i="15"/>
  <c r="T62" i="15" s="1"/>
  <c r="J62" i="15"/>
  <c r="U62" i="15" s="1"/>
  <c r="I30" i="15"/>
  <c r="T30" i="15" s="1"/>
  <c r="J30" i="15"/>
  <c r="U30" i="15" s="1"/>
  <c r="J24" i="15"/>
  <c r="U24" i="15" s="1"/>
  <c r="I24" i="15"/>
  <c r="T24" i="15" s="1"/>
  <c r="J23" i="15"/>
  <c r="U23" i="15" s="1"/>
  <c r="I23" i="15"/>
  <c r="T23" i="15" s="1"/>
  <c r="J22" i="15"/>
  <c r="U22" i="15" s="1"/>
  <c r="I22" i="15"/>
  <c r="T22" i="15" s="1"/>
  <c r="J38" i="15"/>
  <c r="U38" i="15" s="1"/>
  <c r="I38" i="15"/>
  <c r="T38" i="15" s="1"/>
  <c r="J21" i="15"/>
  <c r="U21" i="15" s="1"/>
  <c r="I21" i="15"/>
  <c r="T21" i="15" s="1"/>
  <c r="J69" i="15"/>
  <c r="U69" i="15" s="1"/>
  <c r="I69" i="15"/>
  <c r="T69" i="15" s="1"/>
  <c r="J33" i="15"/>
  <c r="U33" i="15" s="1"/>
  <c r="I33" i="15"/>
  <c r="T33" i="15" s="1"/>
  <c r="I18" i="15"/>
  <c r="T18" i="15" s="1"/>
  <c r="J18" i="15"/>
  <c r="U18" i="15" s="1"/>
  <c r="J47" i="15"/>
  <c r="U47" i="15" s="1"/>
  <c r="I47" i="15"/>
  <c r="T47" i="15" s="1"/>
  <c r="I17" i="15"/>
  <c r="T17" i="15" s="1"/>
  <c r="J17" i="15"/>
  <c r="U17" i="15" s="1"/>
  <c r="J32" i="15"/>
  <c r="U32" i="15" s="1"/>
  <c r="I32" i="15"/>
  <c r="T32" i="15" s="1"/>
  <c r="J81" i="15"/>
  <c r="U81" i="15" s="1"/>
  <c r="I81" i="15"/>
  <c r="T81" i="15" s="1"/>
  <c r="I77" i="15"/>
  <c r="T77" i="15" s="1"/>
  <c r="J77" i="15"/>
  <c r="U77" i="15" s="1"/>
  <c r="J84" i="15"/>
  <c r="U84" i="15" s="1"/>
  <c r="I84" i="15"/>
  <c r="T84" i="15" s="1"/>
  <c r="J7" i="15"/>
  <c r="U7" i="15" s="1"/>
  <c r="I7" i="15"/>
  <c r="T7" i="15" s="1"/>
  <c r="I40" i="15"/>
  <c r="T40" i="15" s="1"/>
  <c r="J40" i="15"/>
  <c r="U40" i="15" s="1"/>
  <c r="I29" i="15"/>
  <c r="T29" i="15" s="1"/>
  <c r="J29" i="15"/>
  <c r="U29" i="15" s="1"/>
  <c r="I14" i="15"/>
  <c r="T14" i="15" s="1"/>
  <c r="J14" i="15"/>
  <c r="U14" i="15" s="1"/>
  <c r="J73" i="15"/>
  <c r="U73" i="15" s="1"/>
  <c r="I73" i="15"/>
  <c r="T73" i="15" s="1"/>
  <c r="J39" i="15"/>
  <c r="U39" i="15" s="1"/>
  <c r="I39" i="15"/>
  <c r="T39" i="15" s="1"/>
  <c r="J19" i="15"/>
  <c r="U19" i="15" s="1"/>
  <c r="I19" i="15"/>
  <c r="T19" i="15" s="1"/>
  <c r="J87" i="15"/>
  <c r="U87" i="15" s="1"/>
  <c r="I87" i="15"/>
  <c r="T87" i="15" s="1"/>
  <c r="J61" i="15"/>
  <c r="U61" i="15" s="1"/>
  <c r="I61" i="15"/>
  <c r="T61" i="15" s="1"/>
  <c r="J13" i="15"/>
  <c r="U13" i="15" s="1"/>
  <c r="I13" i="15"/>
  <c r="T13" i="15" s="1"/>
  <c r="J82" i="15"/>
  <c r="U82" i="15" s="1"/>
  <c r="I82" i="15"/>
  <c r="T82" i="15" s="1"/>
  <c r="J83" i="15"/>
  <c r="U83" i="15" s="1"/>
  <c r="I83" i="15"/>
  <c r="T83" i="15" s="1"/>
  <c r="J57" i="15"/>
  <c r="U57" i="15" s="1"/>
  <c r="I57" i="15"/>
  <c r="T57" i="15" s="1"/>
  <c r="J71" i="15"/>
  <c r="U71" i="15" s="1"/>
  <c r="I71" i="15"/>
  <c r="T71" i="15" s="1"/>
  <c r="J35" i="15"/>
  <c r="U35" i="15" s="1"/>
  <c r="I35" i="15"/>
  <c r="T35" i="15" s="1"/>
  <c r="G62" i="15"/>
  <c r="H62" i="15"/>
  <c r="S62" i="15" s="1"/>
  <c r="G26" i="15"/>
  <c r="H26" i="15"/>
  <c r="S26" i="15" s="1"/>
  <c r="G83" i="15"/>
  <c r="H83" i="15"/>
  <c r="S83" i="15" s="1"/>
  <c r="G79" i="15"/>
  <c r="H79" i="15"/>
  <c r="S79" i="15" s="1"/>
  <c r="G71" i="15"/>
  <c r="H71" i="15"/>
  <c r="S71" i="15" s="1"/>
  <c r="G43" i="15"/>
  <c r="H43" i="15"/>
  <c r="S43" i="15" s="1"/>
  <c r="G77" i="15"/>
  <c r="H77" i="15"/>
  <c r="S77" i="15" s="1"/>
  <c r="G11" i="15"/>
  <c r="H11" i="15"/>
  <c r="S11" i="15" s="1"/>
  <c r="G42" i="15"/>
  <c r="H42" i="15"/>
  <c r="S42" i="15" s="1"/>
  <c r="G7" i="15"/>
  <c r="H7" i="15"/>
  <c r="S7" i="15" s="1"/>
  <c r="G70" i="15"/>
  <c r="H70" i="15"/>
  <c r="S70" i="15" s="1"/>
  <c r="G78" i="15"/>
  <c r="H78" i="15"/>
  <c r="S78" i="15" s="1"/>
  <c r="G10" i="15"/>
  <c r="R10" i="15" s="1"/>
  <c r="H10" i="15"/>
  <c r="S10" i="15" s="1"/>
  <c r="G73" i="15"/>
  <c r="R73" i="15" s="1"/>
  <c r="H73" i="15"/>
  <c r="S73" i="15" s="1"/>
  <c r="G20" i="15"/>
  <c r="H20" i="15"/>
  <c r="S20" i="15" s="1"/>
  <c r="G8" i="15"/>
  <c r="H8" i="15"/>
  <c r="S8" i="15" s="1"/>
  <c r="G48" i="15"/>
  <c r="H48" i="15"/>
  <c r="S48" i="15" s="1"/>
  <c r="G13" i="15"/>
  <c r="H13" i="15"/>
  <c r="S13" i="15" s="1"/>
  <c r="G50" i="15"/>
  <c r="H50" i="15"/>
  <c r="S50" i="15" s="1"/>
  <c r="G25" i="15"/>
  <c r="H25" i="15"/>
  <c r="S25" i="15" s="1"/>
  <c r="G34" i="15"/>
  <c r="H34" i="15"/>
  <c r="S34" i="15" s="1"/>
  <c r="G24" i="15"/>
  <c r="H24" i="15"/>
  <c r="S24" i="15" s="1"/>
  <c r="G84" i="15"/>
  <c r="H84" i="15"/>
  <c r="S84" i="15" s="1"/>
  <c r="G68" i="15"/>
  <c r="H68" i="15"/>
  <c r="S68" i="15" s="1"/>
  <c r="G23" i="15"/>
  <c r="H23" i="15"/>
  <c r="S23" i="15" s="1"/>
  <c r="G40" i="15"/>
  <c r="H40" i="15"/>
  <c r="S40" i="15" s="1"/>
  <c r="G67" i="15"/>
  <c r="R67" i="15" s="1"/>
  <c r="H67" i="15"/>
  <c r="S67" i="15" s="1"/>
  <c r="G38" i="15"/>
  <c r="R38" i="15" s="1"/>
  <c r="H38" i="15"/>
  <c r="S38" i="15" s="1"/>
  <c r="G21" i="15"/>
  <c r="R21" i="15" s="1"/>
  <c r="H21" i="15"/>
  <c r="S21" i="15" s="1"/>
  <c r="G39" i="15"/>
  <c r="R39" i="15" s="1"/>
  <c r="H39" i="15"/>
  <c r="S39" i="15" s="1"/>
  <c r="G5" i="15"/>
  <c r="H5" i="15"/>
  <c r="S5" i="15" s="1"/>
  <c r="G58" i="15"/>
  <c r="H58" i="15"/>
  <c r="S58" i="15" s="1"/>
  <c r="G60" i="15"/>
  <c r="H60" i="15"/>
  <c r="S60" i="15" s="1"/>
  <c r="G36" i="15"/>
  <c r="H36" i="15"/>
  <c r="S36" i="15" s="1"/>
  <c r="G88" i="15"/>
  <c r="H88" i="15"/>
  <c r="S88" i="15" s="1"/>
  <c r="G61" i="15"/>
  <c r="H61" i="15"/>
  <c r="S61" i="15" s="1"/>
  <c r="G17" i="15"/>
  <c r="H17" i="15"/>
  <c r="S17" i="15" s="1"/>
  <c r="G89" i="15"/>
  <c r="H89" i="15"/>
  <c r="S89" i="15" s="1"/>
  <c r="G82" i="15"/>
  <c r="H82" i="15"/>
  <c r="S82" i="15" s="1"/>
  <c r="G32" i="15"/>
  <c r="H32" i="15"/>
  <c r="S32" i="15" s="1"/>
  <c r="G30" i="15"/>
  <c r="H30" i="15"/>
  <c r="S30" i="15" s="1"/>
  <c r="G57" i="15"/>
  <c r="H57" i="15"/>
  <c r="S57" i="15" s="1"/>
  <c r="G81" i="15"/>
  <c r="H81" i="15"/>
  <c r="S81" i="15" s="1"/>
  <c r="AA18" i="17" s="1"/>
  <c r="G53" i="15"/>
  <c r="H53" i="15"/>
  <c r="S53" i="15" s="1"/>
  <c r="G35" i="15"/>
  <c r="H35" i="15"/>
  <c r="S35" i="15" s="1"/>
  <c r="G75" i="15"/>
  <c r="H75" i="15"/>
  <c r="S75" i="15" s="1"/>
  <c r="G55" i="15"/>
  <c r="H55" i="15"/>
  <c r="S55" i="15" s="1"/>
  <c r="G29" i="15"/>
  <c r="H29" i="15"/>
  <c r="S29" i="15" s="1"/>
  <c r="G37" i="15"/>
  <c r="H37" i="15"/>
  <c r="S37" i="15" s="1"/>
  <c r="G56" i="15"/>
  <c r="H56" i="15"/>
  <c r="S56" i="15" s="1"/>
  <c r="G14" i="15"/>
  <c r="H14" i="15"/>
  <c r="S14" i="15" s="1"/>
  <c r="G44" i="15"/>
  <c r="H44" i="15"/>
  <c r="S44" i="15" s="1"/>
  <c r="G41" i="15"/>
  <c r="H41" i="15"/>
  <c r="S41" i="15" s="1"/>
  <c r="G74" i="15"/>
  <c r="H74" i="15"/>
  <c r="S74" i="15" s="1"/>
  <c r="G49" i="15"/>
  <c r="H49" i="15"/>
  <c r="S49" i="15" s="1"/>
  <c r="G22" i="15"/>
  <c r="R22" i="15" s="1"/>
  <c r="H22" i="15"/>
  <c r="S22" i="15" s="1"/>
  <c r="G12" i="15"/>
  <c r="R12" i="15" s="1"/>
  <c r="H12" i="15"/>
  <c r="S12" i="15" s="1"/>
  <c r="G52" i="15"/>
  <c r="R52" i="15" s="1"/>
  <c r="H52" i="15"/>
  <c r="S52" i="15" s="1"/>
  <c r="G65" i="15"/>
  <c r="R65" i="15" s="1"/>
  <c r="H65" i="15"/>
  <c r="S65" i="15" s="1"/>
  <c r="G76" i="15"/>
  <c r="H76" i="15"/>
  <c r="S76" i="15" s="1"/>
  <c r="G66" i="15"/>
  <c r="H66" i="15"/>
  <c r="S66" i="15" s="1"/>
  <c r="G9" i="15"/>
  <c r="H9" i="15"/>
  <c r="S9" i="15" s="1"/>
  <c r="G85" i="15"/>
  <c r="H85" i="15"/>
  <c r="S85" i="15" s="1"/>
  <c r="G31" i="15"/>
  <c r="H31" i="15"/>
  <c r="S31" i="15" s="1"/>
  <c r="G86" i="15"/>
  <c r="H86" i="15"/>
  <c r="S86" i="15" s="1"/>
  <c r="G59" i="15"/>
  <c r="H59" i="15"/>
  <c r="S59" i="15" s="1"/>
  <c r="G6" i="15"/>
  <c r="H6" i="15"/>
  <c r="S6" i="15" s="1"/>
  <c r="G64" i="15"/>
  <c r="H64" i="15"/>
  <c r="S64" i="15" s="1"/>
  <c r="G63" i="15"/>
  <c r="H63" i="15"/>
  <c r="S63" i="15" s="1"/>
  <c r="G15" i="15"/>
  <c r="H15" i="15"/>
  <c r="S15" i="15" s="1"/>
  <c r="G28" i="15"/>
  <c r="H28" i="15"/>
  <c r="S28" i="15" s="1"/>
  <c r="G45" i="15"/>
  <c r="H45" i="15"/>
  <c r="S45" i="15" s="1"/>
  <c r="G80" i="15"/>
  <c r="H80" i="15"/>
  <c r="S80" i="15" s="1"/>
  <c r="G51" i="15"/>
  <c r="H51" i="15"/>
  <c r="S51" i="15" s="1"/>
  <c r="G16" i="15"/>
  <c r="H16" i="15"/>
  <c r="S16" i="15" s="1"/>
  <c r="G69" i="15"/>
  <c r="R69" i="15" s="1"/>
  <c r="H69" i="15"/>
  <c r="S69" i="15" s="1"/>
  <c r="G46" i="15"/>
  <c r="R46" i="15" s="1"/>
  <c r="H46" i="15"/>
  <c r="S46" i="15" s="1"/>
  <c r="G19" i="15"/>
  <c r="R19" i="15" s="1"/>
  <c r="H19" i="15"/>
  <c r="S19" i="15" s="1"/>
  <c r="G33" i="15"/>
  <c r="R33" i="15" s="1"/>
  <c r="H33" i="15"/>
  <c r="S33" i="15" s="1"/>
  <c r="G54" i="15"/>
  <c r="R54" i="15" s="1"/>
  <c r="H54" i="15"/>
  <c r="S54" i="15" s="1"/>
  <c r="G87" i="15"/>
  <c r="R87" i="15" s="1"/>
  <c r="H87" i="15"/>
  <c r="S87" i="15" s="1"/>
  <c r="G18" i="15"/>
  <c r="R18" i="15" s="1"/>
  <c r="H18" i="15"/>
  <c r="S18" i="15" s="1"/>
  <c r="G27" i="15"/>
  <c r="R27" i="15" s="1"/>
  <c r="H27" i="15"/>
  <c r="S27" i="15" s="1"/>
  <c r="G72" i="15"/>
  <c r="R72" i="15" s="1"/>
  <c r="H72" i="15"/>
  <c r="S72" i="15" s="1"/>
  <c r="G47" i="15"/>
  <c r="R47" i="15" s="1"/>
  <c r="H47" i="15"/>
  <c r="S47" i="15" s="1"/>
  <c r="AB17" i="17"/>
  <c r="Z16" i="17"/>
  <c r="X6" i="17"/>
  <c r="AA16" i="17" l="1"/>
  <c r="AB16" i="17" s="1"/>
  <c r="C16" i="20"/>
  <c r="D11" i="19"/>
  <c r="F17" i="20" s="1"/>
  <c r="E17" i="20"/>
  <c r="D17" i="20" s="1"/>
  <c r="H12" i="16"/>
  <c r="AA13" i="17"/>
  <c r="AA14" i="17"/>
  <c r="H13" i="16"/>
  <c r="R31" i="15"/>
  <c r="R42" i="15"/>
  <c r="R88" i="15"/>
  <c r="R32" i="15"/>
  <c r="R50" i="15"/>
  <c r="R84" i="15"/>
  <c r="R82" i="15"/>
  <c r="R30" i="15"/>
  <c r="R74" i="15"/>
  <c r="R16" i="15"/>
  <c r="R60" i="15"/>
  <c r="R41" i="15"/>
  <c r="R37" i="15"/>
  <c r="R51" i="15"/>
  <c r="R64" i="15"/>
  <c r="R43" i="15"/>
  <c r="R26" i="15"/>
  <c r="R83" i="15"/>
  <c r="R11" i="15"/>
  <c r="R53" i="15"/>
  <c r="R89" i="15"/>
  <c r="R61" i="15"/>
  <c r="R80" i="15"/>
  <c r="R6" i="15"/>
  <c r="R71" i="15"/>
  <c r="R13" i="15"/>
  <c r="R68" i="15"/>
  <c r="R35" i="15"/>
  <c r="R70" i="15"/>
  <c r="R78" i="15"/>
  <c r="R17" i="15"/>
  <c r="R34" i="15"/>
  <c r="R63" i="15"/>
  <c r="R66" i="15"/>
  <c r="R44" i="15"/>
  <c r="R45" i="15"/>
  <c r="R59" i="15"/>
  <c r="R25" i="15"/>
  <c r="R62" i="15"/>
  <c r="R56" i="15"/>
  <c r="R40" i="15"/>
  <c r="R85" i="15"/>
  <c r="R5" i="15"/>
  <c r="R29" i="15"/>
  <c r="R23" i="15"/>
  <c r="R24" i="15"/>
  <c r="R7" i="15"/>
  <c r="R77" i="15"/>
  <c r="R57" i="15"/>
  <c r="R48" i="15"/>
  <c r="R15" i="15"/>
  <c r="R36" i="15"/>
  <c r="R20" i="15"/>
  <c r="R76" i="15"/>
  <c r="R8" i="15"/>
  <c r="R58" i="15"/>
  <c r="R9" i="15"/>
  <c r="R49" i="15"/>
  <c r="R14" i="15"/>
  <c r="R55" i="15"/>
  <c r="R28" i="15"/>
  <c r="R86" i="15"/>
  <c r="R79" i="15"/>
  <c r="R75" i="15"/>
  <c r="R81" i="15"/>
  <c r="AA9" i="17" s="1"/>
  <c r="G12" i="16" l="1"/>
  <c r="C51" i="20" s="1"/>
  <c r="D51" i="20"/>
  <c r="G13" i="16"/>
  <c r="D52" i="20"/>
  <c r="AA20" i="17"/>
  <c r="H11" i="16"/>
  <c r="H64" i="16" s="1"/>
  <c r="H66" i="16" l="1"/>
  <c r="G66" i="16" s="1"/>
  <c r="C61" i="20" s="1"/>
  <c r="G11" i="16"/>
  <c r="G64" i="16" s="1"/>
  <c r="C52" i="20"/>
  <c r="AB13" i="17"/>
  <c r="AB14" i="17"/>
  <c r="AB18" i="17"/>
  <c r="AB20" i="17"/>
  <c r="AB9" i="17"/>
  <c r="H65" i="16"/>
  <c r="D60" i="20" s="1"/>
  <c r="D61" i="20" l="1"/>
  <c r="H67" i="16"/>
  <c r="H68" i="16" s="1"/>
  <c r="G65" i="16"/>
  <c r="G67" i="16" l="1"/>
  <c r="C60" i="20"/>
  <c r="H69" i="16"/>
  <c r="D63" i="20" s="1"/>
  <c r="D62" i="20"/>
  <c r="F45" i="19"/>
  <c r="G68" i="16"/>
  <c r="G69" i="16" l="1"/>
  <c r="C63" i="20" s="1"/>
  <c r="C62" i="20"/>
  <c r="F46" i="19"/>
  <c r="G45" i="19"/>
  <c r="C3" i="19" s="1"/>
  <c r="H70" i="16"/>
  <c r="G70" i="16"/>
  <c r="C64" i="20" s="1"/>
  <c r="I16" i="16" l="1"/>
  <c r="I15" i="16"/>
  <c r="I14" i="16"/>
  <c r="D64" i="20"/>
  <c r="I68" i="16"/>
  <c r="E62" i="20" s="1"/>
  <c r="I60" i="16"/>
  <c r="I31" i="16"/>
  <c r="E55" i="20" s="1"/>
  <c r="I59" i="16"/>
  <c r="I22" i="16"/>
  <c r="E54" i="20" s="1"/>
  <c r="I66" i="16"/>
  <c r="E61" i="20" s="1"/>
  <c r="I58" i="16"/>
  <c r="I17" i="16"/>
  <c r="E53" i="20" s="1"/>
  <c r="I65" i="16"/>
  <c r="E60" i="20" s="1"/>
  <c r="I57" i="16"/>
  <c r="I13" i="16"/>
  <c r="E52" i="20" s="1"/>
  <c r="I64" i="16"/>
  <c r="I56" i="16"/>
  <c r="I50" i="16"/>
  <c r="E58" i="20" s="1"/>
  <c r="I11" i="16"/>
  <c r="I49" i="16"/>
  <c r="E57" i="20" s="1"/>
  <c r="I40" i="16"/>
  <c r="E56" i="20" s="1"/>
  <c r="I67" i="16"/>
  <c r="I12" i="16"/>
  <c r="E51" i="20" s="1"/>
  <c r="I62" i="16"/>
  <c r="I61" i="16"/>
  <c r="I63" i="16"/>
  <c r="D3" i="19"/>
  <c r="F9" i="20" s="1"/>
  <c r="E9" i="20"/>
  <c r="D9" i="20" s="1"/>
  <c r="F47" i="19"/>
  <c r="G46" i="19"/>
  <c r="C7" i="19" s="1"/>
  <c r="E13" i="20" s="1"/>
  <c r="D13" i="20" s="1"/>
  <c r="F3" i="19"/>
  <c r="G71" i="16"/>
  <c r="H71" i="16"/>
  <c r="G3" i="19" l="1"/>
  <c r="I3" i="19" s="1"/>
  <c r="G72" i="16"/>
  <c r="C66" i="20" s="1"/>
  <c r="C65" i="20"/>
  <c r="H72" i="16"/>
  <c r="D65" i="20"/>
  <c r="F48" i="19"/>
  <c r="G47" i="19"/>
  <c r="C8" i="19" s="1"/>
  <c r="H3" i="19"/>
  <c r="D7" i="19"/>
  <c r="F13" i="20" s="1"/>
  <c r="D66" i="20" l="1"/>
  <c r="E59" i="20"/>
  <c r="D8" i="19"/>
  <c r="F14" i="20" s="1"/>
  <c r="E14" i="20"/>
  <c r="D14" i="20" s="1"/>
  <c r="F49" i="19"/>
  <c r="G48" i="19"/>
  <c r="C10" i="19" s="1"/>
  <c r="E16" i="20" s="1"/>
  <c r="D16" i="20" s="1"/>
  <c r="F8" i="19"/>
  <c r="H8" i="19" s="1"/>
  <c r="G8" i="19"/>
  <c r="I8" i="19" s="1"/>
  <c r="F7" i="19"/>
  <c r="G7" i="19"/>
  <c r="F50" i="19" l="1"/>
  <c r="G49" i="19"/>
  <c r="C12" i="19" s="1"/>
  <c r="E18" i="20" s="1"/>
  <c r="D18" i="20" s="1"/>
  <c r="H7" i="19"/>
  <c r="I7" i="19"/>
  <c r="F51" i="19" l="1"/>
  <c r="G50" i="19"/>
  <c r="D12" i="19"/>
  <c r="F18" i="20" s="1"/>
  <c r="C37" i="19" l="1"/>
  <c r="D37" i="19" s="1"/>
  <c r="C34" i="19"/>
  <c r="F37" i="19"/>
  <c r="H37" i="19" s="1"/>
  <c r="C14" i="19"/>
  <c r="F14" i="19" s="1"/>
  <c r="H14" i="19" s="1"/>
  <c r="C18" i="19"/>
  <c r="C17" i="19"/>
  <c r="C19" i="19"/>
  <c r="C36" i="19"/>
  <c r="C35" i="19"/>
  <c r="F52" i="19"/>
  <c r="G51" i="19"/>
  <c r="F12" i="19"/>
  <c r="H12" i="19" s="1"/>
  <c r="G12" i="19"/>
  <c r="I12" i="19" s="1"/>
  <c r="E43" i="20" l="1"/>
  <c r="D43" i="20" s="1"/>
  <c r="D34" i="19"/>
  <c r="E40" i="20"/>
  <c r="D40" i="20" s="1"/>
  <c r="F34" i="19"/>
  <c r="H34" i="19" s="1"/>
  <c r="F43" i="20"/>
  <c r="G37" i="19"/>
  <c r="I37" i="19" s="1"/>
  <c r="D35" i="19"/>
  <c r="F35" i="19"/>
  <c r="H35" i="19" s="1"/>
  <c r="E41" i="20"/>
  <c r="D41" i="20" s="1"/>
  <c r="D36" i="19"/>
  <c r="E42" i="20"/>
  <c r="D42" i="20" s="1"/>
  <c r="F36" i="19"/>
  <c r="H36" i="19" s="1"/>
  <c r="E25" i="20"/>
  <c r="D25" i="20" s="1"/>
  <c r="D19" i="19"/>
  <c r="F19" i="19"/>
  <c r="H19" i="19" s="1"/>
  <c r="E23" i="20"/>
  <c r="D23" i="20" s="1"/>
  <c r="F17" i="19"/>
  <c r="H17" i="19" s="1"/>
  <c r="D17" i="19"/>
  <c r="E20" i="20"/>
  <c r="D20" i="20" s="1"/>
  <c r="D14" i="19"/>
  <c r="F20" i="20" s="1"/>
  <c r="F18" i="19"/>
  <c r="H18" i="19" s="1"/>
  <c r="E24" i="20"/>
  <c r="D24" i="20" s="1"/>
  <c r="D18" i="19"/>
  <c r="F53" i="19"/>
  <c r="G52" i="19"/>
  <c r="D10" i="19"/>
  <c r="F10" i="19"/>
  <c r="F40" i="20" l="1"/>
  <c r="G34" i="19"/>
  <c r="I34" i="19" s="1"/>
  <c r="F39" i="19"/>
  <c r="F25" i="20"/>
  <c r="G19" i="19"/>
  <c r="I19" i="19" s="1"/>
  <c r="G14" i="19"/>
  <c r="I14" i="19" s="1"/>
  <c r="F23" i="20"/>
  <c r="G17" i="19"/>
  <c r="I17" i="19" s="1"/>
  <c r="G36" i="19"/>
  <c r="I36" i="19" s="1"/>
  <c r="F42" i="20"/>
  <c r="F24" i="20"/>
  <c r="G18" i="19"/>
  <c r="I18" i="19" s="1"/>
  <c r="F41" i="20"/>
  <c r="G35" i="19"/>
  <c r="I35" i="19" s="1"/>
  <c r="G10" i="19"/>
  <c r="F16" i="20"/>
  <c r="F54" i="19"/>
  <c r="G53" i="19"/>
  <c r="H10" i="19"/>
  <c r="H39" i="19" s="1"/>
  <c r="G39" i="19" l="1"/>
  <c r="I10" i="19"/>
  <c r="I39" i="19" s="1"/>
  <c r="F55" i="19"/>
  <c r="G54" i="19"/>
  <c r="F56" i="19" l="1"/>
  <c r="G55" i="19"/>
  <c r="F57" i="19" l="1"/>
  <c r="G56" i="19"/>
  <c r="F58" i="19" l="1"/>
  <c r="G57" i="19"/>
  <c r="F59" i="19" l="1"/>
  <c r="G58" i="19"/>
  <c r="F60" i="19" l="1"/>
  <c r="G60" i="19" s="1"/>
  <c r="G59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8" authorId="0" shapeId="0" xr:uid="{00000000-0006-0000-0300-000001000000}">
      <text>
        <r>
          <rPr>
            <sz val="9"/>
            <color indexed="81"/>
            <rFont val="Tahoma"/>
            <family val="2"/>
            <charset val="204"/>
          </rPr>
          <t>обучение, санитарные книжки, допуски, лицензии и т.п.</t>
        </r>
      </text>
    </comment>
    <comment ref="B60" authorId="0" shapeId="0" xr:uid="{00000000-0006-0000-0300-000002000000}">
      <text>
        <r>
          <rPr>
            <sz val="9"/>
            <color indexed="81"/>
            <rFont val="Tahoma"/>
            <family val="2"/>
            <charset val="204"/>
          </rPr>
          <t>доставка персонала и материалов, логистические затраты и т.п.</t>
        </r>
      </text>
    </comment>
    <comment ref="B61" authorId="0" shapeId="0" xr:uid="{00000000-0006-0000-0300-000003000000}">
      <text>
        <r>
          <rPr>
            <sz val="9"/>
            <color indexed="81"/>
            <rFont val="Tahoma"/>
            <family val="2"/>
            <charset val="204"/>
          </rPr>
          <t>аренда помещений, расходы на запуск, моб. связь, интернет, канцелярские товары и т.п</t>
        </r>
      </text>
    </comment>
    <comment ref="B65" authorId="0" shapeId="0" xr:uid="{00000000-0006-0000-0300-000004000000}">
      <text>
        <r>
          <rPr>
            <sz val="9"/>
            <color indexed="81"/>
            <rFont val="Tahoma"/>
            <family val="2"/>
            <charset val="204"/>
          </rPr>
          <t>затраты на АУП, аренду офисных и складских помещений, страхование, налог на имущество и т.п.</t>
        </r>
      </text>
    </comment>
    <comment ref="B66" authorId="0" shapeId="0" xr:uid="{00000000-0006-0000-0300-000005000000}">
      <text>
        <r>
          <rPr>
            <sz val="9"/>
            <color indexed="81"/>
            <rFont val="Tahoma"/>
            <family val="2"/>
            <charset val="204"/>
          </rPr>
          <t>кредит учитывается для покрытия потребности в оборотных средствах (ФОТ, ТМЦ)</t>
        </r>
      </text>
    </comment>
  </commentList>
</comments>
</file>

<file path=xl/sharedStrings.xml><?xml version="1.0" encoding="utf-8"?>
<sst xmlns="http://schemas.openxmlformats.org/spreadsheetml/2006/main" count="400" uniqueCount="353">
  <si>
    <t>Расходы на оплату труда</t>
  </si>
  <si>
    <t>Инвентарь</t>
  </si>
  <si>
    <t>Спецодежда</t>
  </si>
  <si>
    <t>Амортизация ОС</t>
  </si>
  <si>
    <t>Подрядные работы</t>
  </si>
  <si>
    <t>Эксплуатация и ремонт оборудования</t>
  </si>
  <si>
    <t>Расходные материалы (РМ для сан.зон)</t>
  </si>
  <si>
    <t>Расходные материалы (химия и РМ для уборки)</t>
  </si>
  <si>
    <t>Расходные материалы</t>
  </si>
  <si>
    <t>ковросервис</t>
  </si>
  <si>
    <t>альп.работы</t>
  </si>
  <si>
    <t>вывоз отходов</t>
  </si>
  <si>
    <t>Прочие расходы</t>
  </si>
  <si>
    <t>Транспортные расходы</t>
  </si>
  <si>
    <t>График и время работы</t>
  </si>
  <si>
    <t>Кол-во месяцев</t>
  </si>
  <si>
    <t>Комментарии</t>
  </si>
  <si>
    <t>Наименование статьи затрат</t>
  </si>
  <si>
    <t>Кол-во</t>
  </si>
  <si>
    <t>НДФЛ</t>
  </si>
  <si>
    <t>Стоимость  без НДС</t>
  </si>
  <si>
    <t xml:space="preserve">Накладные расходы       </t>
  </si>
  <si>
    <t xml:space="preserve">  Зарплата, премии, компенсации</t>
  </si>
  <si>
    <t xml:space="preserve">  Налоги на ФОТ </t>
  </si>
  <si>
    <t>НДС</t>
  </si>
  <si>
    <t>Себестоимость (производственная)</t>
  </si>
  <si>
    <t>Полная себестоимость (справочно)</t>
  </si>
  <si>
    <t xml:space="preserve">Вознаграждение </t>
  </si>
  <si>
    <t>Кол- во, чел.</t>
  </si>
  <si>
    <t>Расходы на оплату труда (см. лист "Расчет ФОТ")</t>
  </si>
  <si>
    <t>Цена покупки, руб.</t>
  </si>
  <si>
    <t>Инвентарь 1</t>
  </si>
  <si>
    <t>Инвентарь 2</t>
  </si>
  <si>
    <t>Инвентарь 3</t>
  </si>
  <si>
    <t>Спецодежда 2</t>
  </si>
  <si>
    <t>Горюче-смазочные материалы (ГСМ)</t>
  </si>
  <si>
    <t>Аренда оборудования и транспортных средств (ТС)</t>
  </si>
  <si>
    <t>Оплата праздничных дней производится в двойном размере.</t>
  </si>
  <si>
    <t xml:space="preserve">Размер оплачиваемого работодателем больничного листа в расчете учитывается для каждого сотрудника в размере не менее стоимости 3 (трёх) рабочих дней ежегодно. </t>
  </si>
  <si>
    <t>Размер страховых взносов для граждан РФ и стран ЕАЭС составляет 30%,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</si>
  <si>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>Размер страховых взносов для других категорий иностранных граждан составляет 23,8%, без учета страховых взносов от несчастных случаев, которые закладываются согласно таблице производственных рисков (от 0,2 до 8,5%). Применительно к клинингу страховые взносы в ФСС по несчастным случаям в среднем равны 0,5%.</t>
  </si>
  <si>
    <t xml:space="preserve">Спецодежда 1 </t>
  </si>
  <si>
    <t>Расходы на СОУТ (новый объект),  по охране труда (ОТ) и промышленной безопасности (ПБ)</t>
  </si>
  <si>
    <t>Стоимость с НДС (20%)</t>
  </si>
  <si>
    <t>Электрооборудование крупное -  поломоечные машины различного типа (3 амортизационная группа)</t>
  </si>
  <si>
    <t>Механизация крупная (фронтальные погрузчики с навесным оборудованием более 1 куб.м., самосвалы грузоподъемностью более 10 тонн, автогрейдеры) 5 аморт.группа</t>
  </si>
  <si>
    <t>Механизация средняя и малая западного производства  (фронтальные погрузчики  до 1 куб.м., коммунальные машины для уборки дорог и тротуаров, паркингов, самосвалы до 10 тонн и проч.) 4 аморт.группа</t>
  </si>
  <si>
    <t>Механизация средняя и малая производства СНГ и КНР  (фронтальные погрузчики типа МТЗ до 1 куб.м., коммунальные машины для уборки дорог и тратуаров, паркингов, самосвалы до 10 тонн и проч.) 4 аморт.группа</t>
  </si>
  <si>
    <t>Стоимость заемных средств (при отсрочке платежей от 30 календарных дней и более)</t>
  </si>
  <si>
    <t>Количество дней отсрочки платежа</t>
  </si>
  <si>
    <t>Коэффициент накладных расходов</t>
  </si>
  <si>
    <t>Ставка по кредиту</t>
  </si>
  <si>
    <t>Коэффициент расчета вознаграждения</t>
  </si>
  <si>
    <t>Стоимость, руб.</t>
  </si>
  <si>
    <t>Расходы на банковскую гарантию и обеспечение заявки, руб.</t>
  </si>
  <si>
    <t>дератизация</t>
  </si>
  <si>
    <t>вывоз снега</t>
  </si>
  <si>
    <t>Калькуляция</t>
  </si>
  <si>
    <t xml:space="preserve">В настоящей форме Калькуляции все затраты необходимо указывать без учета НДС. </t>
  </si>
  <si>
    <t>Количество дней отпуска рассчитывается исходя из 28 календарных дней. Дополнительно учитывается отпуск, установленный законодательством для районов Крайнего Севера и приравненных к ним (8,16 или 24 календарных дня), а также отпуск, который может быть установлен по результатам специальной оценки условий труда (СОУТ).</t>
  </si>
  <si>
    <t>Срок контракта, мес.</t>
  </si>
  <si>
    <t>Кол-во рабочих часов в смену</t>
  </si>
  <si>
    <t>Кол-во рабочих смен в месяц</t>
  </si>
  <si>
    <t>Кол-во рабочих часов итого</t>
  </si>
  <si>
    <t xml:space="preserve">Субъект РФ, в котором оказывается услуга </t>
  </si>
  <si>
    <t>Площадь объекта (кв.м)</t>
  </si>
  <si>
    <t xml:space="preserve">Наименование/ИНН подрядчика </t>
  </si>
  <si>
    <t xml:space="preserve">Наименование/ИНН заказчика услуг, к которому относится объект </t>
  </si>
  <si>
    <t>Вид объекта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</si>
  <si>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</si>
  <si>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</si>
  <si>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</si>
  <si>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</si>
  <si>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</si>
  <si>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</si>
  <si>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</si>
  <si>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</si>
  <si>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</si>
  <si>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</si>
  <si>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</si>
  <si>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</si>
  <si>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</si>
  <si>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</si>
  <si>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</si>
  <si>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</si>
  <si>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</si>
  <si>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</si>
  <si>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</si>
  <si>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</si>
  <si>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</si>
  <si>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</si>
  <si>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</si>
  <si>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</si>
  <si>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</si>
  <si>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</si>
  <si>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</si>
  <si>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</si>
  <si>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</si>
  <si>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</si>
  <si>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</si>
  <si>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</si>
  <si>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</si>
  <si>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</si>
  <si>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</si>
  <si>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</si>
  <si>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</si>
  <si>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</si>
  <si>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</si>
  <si>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</si>
  <si>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</si>
  <si>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</si>
  <si>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</si>
  <si>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</si>
  <si>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</si>
  <si>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</si>
  <si>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</si>
  <si>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</si>
  <si>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</si>
  <si>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</si>
  <si>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</si>
  <si>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</si>
  <si>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</si>
  <si>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</si>
  <si>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</si>
  <si>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</si>
  <si>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</si>
  <si>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</si>
  <si>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</si>
  <si>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</si>
  <si>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</si>
  <si>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</si>
  <si>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</si>
  <si>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</si>
  <si>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Регион РФ</t>
  </si>
  <si>
    <t>Московская область</t>
  </si>
  <si>
    <t>Кемеровская область - Кузбасс</t>
  </si>
  <si>
    <t>Еврейская автономная область</t>
  </si>
  <si>
    <t>Чукотский автономный округ</t>
  </si>
  <si>
    <t>Город федерального значения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</si>
  <si>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</si>
  <si>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</si>
  <si>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</si>
  <si>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</si>
  <si>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</si>
  <si>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</si>
  <si>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</si>
  <si>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Татарстан (Татарстан)</t>
  </si>
  <si>
    <t>Чувашская Республика - Чувашия</t>
  </si>
  <si>
    <t xml:space="preserve">Город Москва </t>
  </si>
  <si>
    <t xml:space="preserve">Ненецкий автономный округ </t>
  </si>
  <si>
    <t xml:space="preserve">Город Санкт-Петербург </t>
  </si>
  <si>
    <t xml:space="preserve">Республика Адыгея </t>
  </si>
  <si>
    <t xml:space="preserve">Ханты-Мансийский автономный округ - Югра </t>
  </si>
  <si>
    <t xml:space="preserve">Ямало-Ненецкий автономный округ </t>
  </si>
  <si>
    <t xml:space="preserve">Тюменская область </t>
  </si>
  <si>
    <t>№</t>
  </si>
  <si>
    <t>Код субъекта РФ</t>
  </si>
  <si>
    <t>Среднемесячно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</si>
  <si>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</si>
  <si>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</si>
  <si>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</si>
  <si>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</si>
  <si>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</si>
  <si>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</si>
  <si>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</si>
  <si>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</si>
  <si>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</si>
  <si>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12</t>
  </si>
  <si>
    <t>13</t>
  </si>
  <si>
    <t>15</t>
  </si>
  <si>
    <t>16</t>
  </si>
  <si>
    <t>18</t>
  </si>
  <si>
    <t>20</t>
  </si>
  <si>
    <t>21</t>
  </si>
  <si>
    <t>26</t>
  </si>
  <si>
    <t>43</t>
  </si>
  <si>
    <t>45</t>
  </si>
  <si>
    <t>52</t>
  </si>
  <si>
    <t>56</t>
  </si>
  <si>
    <t>58</t>
  </si>
  <si>
    <t>59</t>
  </si>
  <si>
    <t>63</t>
  </si>
  <si>
    <t>64</t>
  </si>
  <si>
    <t>66</t>
  </si>
  <si>
    <t>72</t>
  </si>
  <si>
    <t>73</t>
  </si>
  <si>
    <t>74</t>
  </si>
  <si>
    <t>86</t>
  </si>
  <si>
    <t>89</t>
  </si>
  <si>
    <t>Налог на прибыль (информационно)</t>
  </si>
  <si>
    <t>РФ</t>
  </si>
  <si>
    <t>Бюджет/Здравоохранение</t>
  </si>
  <si>
    <t>Бюджет/Образование</t>
  </si>
  <si>
    <t>Бюджет/ФОИВ</t>
  </si>
  <si>
    <t>Бюджет/Силовые структуры</t>
  </si>
  <si>
    <t>Бюджет/ЖД и Метрополитены</t>
  </si>
  <si>
    <t>Бюджет/Прочие</t>
  </si>
  <si>
    <t>Индустрия/Нефтегазовая промышленность</t>
  </si>
  <si>
    <t>Индустрия/Машиностроение</t>
  </si>
  <si>
    <t>Индустрия/Пищевая</t>
  </si>
  <si>
    <t xml:space="preserve">Индустрия/Фармацевтическая </t>
  </si>
  <si>
    <t>Индустрия/Уголь, руда, металл</t>
  </si>
  <si>
    <t>Индустрия/Энергетика</t>
  </si>
  <si>
    <t>Индустрия/ Прочая</t>
  </si>
  <si>
    <t>Недвижимость/Аэропорты, стадионы и пр.</t>
  </si>
  <si>
    <t>Недвижимость/Жилая</t>
  </si>
  <si>
    <t>Недвижимость/Логистическая</t>
  </si>
  <si>
    <t>Недвижимость/Офисная</t>
  </si>
  <si>
    <t>Недвижимость/Торгово-развлекательная</t>
  </si>
  <si>
    <t>Недвижимость/Прочая</t>
  </si>
  <si>
    <t>Cети/Nonfood</t>
  </si>
  <si>
    <t>Сети/Супермаркеты</t>
  </si>
  <si>
    <t>Сети/Гипермаркеты</t>
  </si>
  <si>
    <t>Сети/Распределительные центры</t>
  </si>
  <si>
    <t>Сети/Офисы</t>
  </si>
  <si>
    <t>Прочее</t>
  </si>
  <si>
    <t>Электрооборудование (пылесосы, пыле/водосос, экстракторы и т.п.) (1 амортизацонная группа)</t>
  </si>
  <si>
    <t>электрооборудование среднее - однодисковые роторные машины в различных навесных модификациях, высокоскоростные роторные машины, специализированные машины для чистки ковров, эскалаторов, траволаторов и проч. (2 группа)</t>
  </si>
  <si>
    <t>Срок амортизации (максимальный)</t>
  </si>
  <si>
    <t>Сети/Магазины у дома</t>
  </si>
  <si>
    <t xml:space="preserve">  Зарплата, премии, компенсации, питание</t>
  </si>
  <si>
    <t>Правила заполнения</t>
  </si>
  <si>
    <t xml:space="preserve">Заполнению (редактированию) подлежат ячейки, отмеченные серым маркером. Остальные ячейки защищены от редактирования (в них не требуется вносить изменения и/или значения параметров в них рассчитываются автоматически). </t>
  </si>
  <si>
    <t>Штатное расписание во вкладке "Расчет ФОТ" подлежит заполнению в зависимости от обслуживаемого объекта и необходимого графика работы</t>
  </si>
  <si>
    <t>Справочная информация</t>
  </si>
  <si>
    <t>Адрес объекта (индекс, город (населенный пункт), улица, дом (корпус, строение), офис</t>
  </si>
  <si>
    <t xml:space="preserve">Расчет заработной платы в час во вкладке "Статистическая ЗП" производится из максимально возможных согласно ТК РФ 246 часов  среднемесячно при работе сотрудника  по основному договору и договору совместительства, формула расчета представлена в п.1                                                                                                                                                                </t>
  </si>
  <si>
    <t xml:space="preserve">Табелирование </t>
  </si>
  <si>
    <t>Итого ФОТ (с учетом районных коэффициентов, северных надбавок, праздничных, отпускных и больничных дней, НДФЛ и  страховых взносов)</t>
  </si>
  <si>
    <t>% отклонения стоимости ч/ч от ЕМИСС в час- 20% (не ниже МРОТ)</t>
  </si>
  <si>
    <t>Оплата праздничных  дней</t>
  </si>
  <si>
    <t>Оплата отпускных дней</t>
  </si>
  <si>
    <t>Оплата питания</t>
  </si>
  <si>
    <t xml:space="preserve">Оплата больничных дней (3 дня)        </t>
  </si>
  <si>
    <t xml:space="preserve">Заработная плата, руб.   </t>
  </si>
  <si>
    <t>в месяц</t>
  </si>
  <si>
    <t>в смену</t>
  </si>
  <si>
    <t>в час.</t>
  </si>
  <si>
    <t xml:space="preserve">Заработная плата всех сотрудников </t>
  </si>
  <si>
    <t>Заработная плата 1 сотр. НЕТТО (на руки)</t>
  </si>
  <si>
    <t xml:space="preserve"> НЕТТО (на руки) в месяц</t>
  </si>
  <si>
    <t>ЕМИСС -20% (не ниже МРОТ), руб. в час</t>
  </si>
  <si>
    <t>руб. в час</t>
  </si>
  <si>
    <t>руб. в месяц</t>
  </si>
  <si>
    <t>Критерий коммерческого предприятия</t>
  </si>
  <si>
    <t>МСП</t>
  </si>
  <si>
    <t>не МСП</t>
  </si>
  <si>
    <t>Категория персонала</t>
  </si>
  <si>
    <t>Расходные материалы (для уборки внешней территории)</t>
  </si>
  <si>
    <t>Спецодежда 3</t>
  </si>
  <si>
    <t>Спецодежда 4</t>
  </si>
  <si>
    <t>Некатегорийные затраты</t>
  </si>
  <si>
    <t>Незаполненная категория ФОТ</t>
  </si>
  <si>
    <t>Расходные материалы (прочие)</t>
  </si>
  <si>
    <t>ЕМИСС среднемесячно минус 20%  в час, включая страховые взносы</t>
  </si>
  <si>
    <t>Значение для сравнения</t>
  </si>
  <si>
    <t>Итого часов</t>
  </si>
  <si>
    <t>Должность</t>
  </si>
  <si>
    <t>Категории персонала</t>
  </si>
  <si>
    <t>Наименование услуги</t>
  </si>
  <si>
    <t>Управление объектом</t>
  </si>
  <si>
    <t>Уборка внутренних помещений (ОПМ)</t>
  </si>
  <si>
    <t>Сбор тележек</t>
  </si>
  <si>
    <t>Уборка внешней территории с помощью трактора</t>
  </si>
  <si>
    <t>без НДС</t>
  </si>
  <si>
    <t>с НДС</t>
  </si>
  <si>
    <t>ЕМИСС минус 20%</t>
  </si>
  <si>
    <t xml:space="preserve"> в месяц                    </t>
  </si>
  <si>
    <t xml:space="preserve">в час                     </t>
  </si>
  <si>
    <t xml:space="preserve"> в час, включая налоги, отпускные и больничные</t>
  </si>
  <si>
    <t xml:space="preserve">среднемесячно </t>
  </si>
  <si>
    <t xml:space="preserve">  в час</t>
  </si>
  <si>
    <t>Уборка внутренних помещений (ОВУ)</t>
  </si>
  <si>
    <t>Уборка внешней территории (ОВнУ)</t>
  </si>
  <si>
    <t>Тариф, руб. в час</t>
  </si>
  <si>
    <t>Категория 7</t>
  </si>
  <si>
    <t>Категория 8</t>
  </si>
  <si>
    <t>Категория 9</t>
  </si>
  <si>
    <t>Категория 10</t>
  </si>
  <si>
    <t>Категория 11</t>
  </si>
  <si>
    <t>Категория 12</t>
  </si>
  <si>
    <t>Категория 13</t>
  </si>
  <si>
    <t>Категория 14</t>
  </si>
  <si>
    <t>Категория 15</t>
  </si>
  <si>
    <t>Итого выручка проекта среднемесячно, руб.</t>
  </si>
  <si>
    <t>Итого выручка проекта за весь период, руб.</t>
  </si>
  <si>
    <t>Стоимость услуг в нормо-часах отображается во вкладке "Тарификатор", и формируется из расходов на ФОТ и прочих статей затрат на услуги в соответствии с их наименованием в ячейках В30:45 во вкладке "Расчет ФОТ"</t>
  </si>
  <si>
    <t>Итого (справочно) выручка проекта среднемесячно, руб.</t>
  </si>
  <si>
    <t>Взносы в фонды (РФ, Иностранцы (ЕАЭС))</t>
  </si>
  <si>
    <t>Взносы в фонды (Иностранцы (патент))</t>
  </si>
  <si>
    <t>Иностранцы (патент)</t>
  </si>
  <si>
    <t>Иностранцы (ЕАЭС)</t>
  </si>
  <si>
    <t>РФ, Иностранцы (ЕАЭС)</t>
  </si>
  <si>
    <t>Гражданство</t>
  </si>
  <si>
    <t xml:space="preserve">Механизация ручная (снегоочиститель шнековый, снегоуборочная машина щеточного типа, травокосилка, газонокосилка и проч.) 2 аморт.группа </t>
  </si>
  <si>
    <t xml:space="preserve">Стоимость заемных средств </t>
  </si>
  <si>
    <t xml:space="preserve">Налоги на ФОТ </t>
  </si>
  <si>
    <t>Расчетная стоимость трудового ресурса</t>
  </si>
  <si>
    <t>Стоимость, руб./мес.</t>
  </si>
  <si>
    <t xml:space="preserve">Расчетная стоимость услуги </t>
  </si>
  <si>
    <t>Стоимость человеко-часа, руб.</t>
  </si>
  <si>
    <t>ФОТ</t>
  </si>
  <si>
    <t>Доля в выручке без НДС, %</t>
  </si>
  <si>
    <t xml:space="preserve">Стоимость нормо-часа, руб. </t>
  </si>
  <si>
    <t>в час</t>
  </si>
  <si>
    <t>Распределяемые затраты, руб.</t>
  </si>
  <si>
    <t>чел-часы</t>
  </si>
  <si>
    <t>Стоимость в час, руб.</t>
  </si>
  <si>
    <t>Нераспределяемые затраты, руб.</t>
  </si>
  <si>
    <t>Итого Затраты в час, руб.</t>
  </si>
  <si>
    <t>Заработная плата 1 сотр. НЕТТО (на руки), руб.</t>
  </si>
  <si>
    <t>Кол-во часов</t>
  </si>
  <si>
    <t>Надбавки и взносы с ФОТ, руб./период договора</t>
  </si>
  <si>
    <t xml:space="preserve"> с НДФЛ (к начислению) за период договора</t>
  </si>
  <si>
    <t>НЕТТО (на руки) за период договора</t>
  </si>
  <si>
    <t>руб. за период договора</t>
  </si>
  <si>
    <t>Итого ФОТ (с учетом районных коэффициентов, северных надбавок, праздничных, отпускных и больничных дней, НДФЛ и  страховых взносов), руб./ период договора</t>
  </si>
  <si>
    <t>Тарификатор (стоимость услуг в час с разбивкой по видам услуг)</t>
  </si>
  <si>
    <t>Стоимость сопутствующих расходов*, руб./час</t>
  </si>
  <si>
    <t xml:space="preserve">*Сопутствующие расходы- все составляющие бюджета: расходные материалы, техника, накладные расходы, прибыль, и пр., кроме расходов, связанных с ФОТ </t>
  </si>
  <si>
    <t>**Стоимость услуги за период договора= стоимость нормо-часа Х количество часов за период договора</t>
  </si>
  <si>
    <t>**Стоимость, руб./период договора</t>
  </si>
  <si>
    <t>Надбавки, НДФЛ и взносы с ФОТ, руб./период договора</t>
  </si>
  <si>
    <t>Инвентарь 4</t>
  </si>
  <si>
    <t>Инвентарь 5</t>
  </si>
  <si>
    <t>Инвентарь 6</t>
  </si>
  <si>
    <t>Инвентарь 7</t>
  </si>
  <si>
    <t>Инвентарь 8</t>
  </si>
  <si>
    <t>Спецодежда 5</t>
  </si>
  <si>
    <t>Спецодежда 6</t>
  </si>
  <si>
    <t>Спецодежда 7</t>
  </si>
  <si>
    <t>Спецодежда 8</t>
  </si>
  <si>
    <r>
      <t>Настоящая форма содержит вкладки - "Статистическая ЗП", "Калькуляция",  "Расчет ФОТ</t>
    </r>
    <r>
      <rPr>
        <sz val="12"/>
        <rFont val="Times New Roman"/>
        <family val="1"/>
        <charset val="204"/>
      </rPr>
      <t>", "Тарификатор"</t>
    </r>
    <r>
      <rPr>
        <sz val="12"/>
        <color rgb="FF00B05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и  «Приложение к договору»</t>
    </r>
    <r>
      <rPr>
        <sz val="12"/>
        <color rgb="FF333333"/>
        <rFont val="Times New Roman"/>
        <family val="1"/>
        <charset val="204"/>
      </rPr>
      <t xml:space="preserve"> .  Листы "Калькуляция" и "Расчет ФОТ" являются обязательными для заполнения в полном объеме.</t>
    </r>
  </si>
  <si>
    <t xml:space="preserve"> Вкладка "Приложение к договору", в которой указываются расчетная стоимость услуги с разбивкой на статьи затрат и расчетная стоимость трудового ресурса, заполняется автоматически при заполнении вкладок "Калькуляция" и "Расчет ФОТ".</t>
  </si>
  <si>
    <t xml:space="preserve">Расходы на обеспечение заявки для участия в тендере рассчитываются исходя из ставки 12% годовых. </t>
  </si>
  <si>
    <t xml:space="preserve">Заработная плата за 1 час устанавливается в размере не менее определенного по формуле (далее – Минимальная расчетная заработная плата за 1 час):
80% от среднего уровня заработной платы по отрасли в регионе оказания услуг, определенной в соответствии с данными, опубликованными Федеральной службой государственной статистики на официальном сайте Единой межведомственной информационно-статистической системы (далее – ЕМИСС)/246,6 (далее – Средний уровень заработной платы за час), где 246,6 – это максимально возможное количество рабочих часов среднемесячно по трудовому договору и договору совместительства на 1 человека в соответствии с ТК РФ.
При этом максимальное количество отработанных сотрудником часов среднемесячно не должно превышать 246 рабочих часов 
Для целей расчета среднего уровня заработной платы по отрасли принимаются данные о среднемесячной начисленной заработной плате работников организаций, соответствующих отраслевому виду экономической деятельности по ОКВЭД-2 (группа 81.2 «Деятельность по чистке и уборке»), за последний период (год,квартал), опубликованный на официальном сайте ЕМИСС, на момент составления расчета.
В случае, если определенная таким образом минимальная расчетная заработная плата за 1 час работы окажется ниже уровня заработной платы, рассчитанного по формуле:
МРОТ (минимальный размер заработной платы, установленной в субъекте РФ)/164  рабочих часа (далее Минимальный размер заработной платы за час), где 
164 – это количество рабочих часов в месяц для 40 часовой рабочей недели, согласно производственному календарю, 
Минимальная расчетная заработная плата за 1 час принимается Исполнителем равной Минимальному размеру заработной платы за час (МРОТ/164).
 Процент отклонения отображается в столбце АА "Расчет ФОТ", подсвечивается зеленым в случае соответствия, красным в случае несоответствия  требуемому критерию. </t>
  </si>
  <si>
    <t>Сроки амортизации основных средств определяются каждым участником самостоятельно в соответствии с действующим законодательством РФ, но не должны превышать указанные в столбце "F" максимально допустимые значения данного параметра. При этом не  допускается указывать в основные средства с нулевой остаточной стоимостью. При формировании Калькуляции необходимо в обязательном порядке учитывать затраты на амортизацию каждого основного средства (исходя из ежемесячной амортизации нового основного средства).</t>
  </si>
  <si>
    <t xml:space="preserve"> В разделе «Инвентарь» не допускается указывать инвентарь б/у и/или инвентарь с нулевой стоимостью. В Калькуляцию каждого проекта необходимо закладывать приобретение нового инвентаря по действующим на момент расчета ценам поставщиков.</t>
  </si>
  <si>
    <t>В разделе «Спецодежда» указанное количество комплектов спецодежды должно соответствовать планируемому количеству персонала и учитывать сезонность (зима/лето) и условия труда. Для контрактов продолжительностью более 1(одного) года необходимо учитывать ежегодное приобретение комплектов «летней» спецодежды для всех сотрудников, комплекты «зимней» спецодежды подлежат обновлению не реже, чем 1 раз в 2(два) года.</t>
  </si>
  <si>
    <t>В разделе «Расходы на СОУТ (новый объект),  по охране труда (ОТ) и промышленной безопасности (ПБ)» в обязательном порядке должны быть учтены соответствующие затраты на выполнение нормативов и требований в области охраны труда, пожарной и промышленной безопасности (в т.ч. медосмотры,  медкнижки, освидетельствование рабочих мест,  аттестации по электро- и пожарной безопасности и т.д.) по действующим на момент расчета расценкам поставщиков указанных услуг.</t>
  </si>
  <si>
    <t>В разделе «Эксплуатация и ремонт оборудования» указываются затраты на ремонт и обслуживание основных средств, а также затраты на приобретение расходных материалов (щетки, скребки, резинки и др.). Данные затраты должны ежегодно составлять не менее 5% от стоимости основного средства.</t>
  </si>
  <si>
    <t>Для расчета параметра "Стоимость заёмных средств" (строка 66) необходимо указать в соответствующей ячейке значение параметра "Ставка по кредиту" и "Количество дней отсрочки платежа" (30/60/90). Значение параметра "Ставка по кредиту" должно быть не менее 12% годовых.</t>
  </si>
  <si>
    <t>Значение параметра "Накладные расходы" (строка 65) в калькуляции каждого участника должно быть не менее 8% от "Стоимости без НДС" для услуг по "Клинингу" и не менее 9% от "Стоимости без НДС" для услуг по "Технической эксплуатации". Данное значение отражается в столбце H и корректируется путем изменения "Коэффициента накладных расходов".</t>
  </si>
  <si>
    <t>Значение параметра "Вознаграждение" (строка 68) в калькуляции каждого участника должно быть не менее  3% от "Стоимости без НДС". Данное значение отражается в столбце H и корректируется путем изменения "Коэффициента расчета вознаграждения".</t>
  </si>
  <si>
    <t xml:space="preserve">Компании, работающие на УСН, считают прямые затраты до строки 69 "Налог на прибыль". Далее необходимо прибавлять сумму расчетного налога согласно внутренней системе упрощенного налогооблажения. </t>
  </si>
  <si>
    <t>СТАНДАРТ ОРГАНИЗАЦИИ</t>
  </si>
  <si>
    <t>СТО СРО АКФО 2.01 - 2019</t>
  </si>
  <si>
    <t>(КАЛЬКУЛЯЦИЯ УСЛУГ)</t>
  </si>
  <si>
    <t>Издание официальное</t>
  </si>
  <si>
    <t>МЕТОДИКА РАСЧЕТА СТОИМОСТИ УСЛУГ  В НОРМО-ЧАСАХ</t>
  </si>
  <si>
    <t>Данные ЕМИСС за январь - декабрь 2021г. по коду ОКВЭД2 81.2 Услуги по чистке и уборке</t>
  </si>
  <si>
    <t>Согласно производственному календарю в 2022 году 1973 максимально возможных рабочих часа (при 40- часовой рабочей неделе) по одному трудовому договору (без переработок), т.е. 164,4 часа среднемесячно.                                                               ТК РФ допускается работа по совместительству с продолжительностью рабочего времени, не превышающей половины месячной нормы рабочего времени, в 2022 году это 1973/2=986,5 часов.                                                                                          Таким образом, расчет максимально возможного количества рабочих часов в год по основному договору и договору совместительства выглядит следующим образом:                                                                                                                                       1973+0,5*1 973=2 959,5/12 месяцев=246,6 часов (среднемесячно).                                                                                                                                                                                    
Согласно ТК РФ максимально возможное количество человеко-часов (3 140/ в год)  можно установить графиком работы персоналу 6/1-10 часов, это основной договор плюс договор совместительства. 
В случае установки графика работы, при котором количество человеко- часов по каждой специальности и каждому сотруднику превышает 3 140 часов в год, ячейка с итоговым количеством человеко- часов (столбец J вкладки "Расчет ФОТ") окрашивается в красный цвет, если не превышает- в зеленый.</t>
  </si>
  <si>
    <t>МРОТ (на 01.06.2022)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</si>
</sst>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₽_-;\-* #,##0.00_₽_-;_-* &quot;-&quot;??_₽_-;_-@_-"/>
    <numFmt numFmtId="165" formatCode="_-* #,##0_₽_-;\-* #,##0_₽_-;_-* &quot;-&quot;??_₽_-;_-@_-"/>
    <numFmt numFmtId="166" formatCode="0.0%"/>
    <numFmt numFmtId="167" formatCode="_-* #,##0\ _₽_-;\-* #,##0\ _₽_-;_-* &quot;-&quot;??\ _₽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2E2E2E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18"/>
      <color theme="1"/>
      <name val="Arial"/>
      <family val="2"/>
      <charset val="204"/>
    </font>
    <font>
      <sz val="9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E7E7E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46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6" borderId="11" xfId="0" applyFont="1" applyFill="1" applyBorder="1" applyAlignment="1">
      <alignment horizontal="left" vertical="center" indent="1"/>
    </xf>
    <xf numFmtId="4" fontId="3" fillId="0" borderId="2" xfId="0" applyNumberFormat="1" applyFont="1" applyBorder="1" applyAlignment="1">
      <alignment horizontal="center" vertical="center"/>
    </xf>
    <xf numFmtId="0" fontId="8" fillId="3" borderId="11" xfId="0" applyFont="1" applyFill="1" applyBorder="1" applyAlignment="1">
      <alignment horizontal="left" vertical="center" indent="1"/>
    </xf>
    <xf numFmtId="4" fontId="3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indent="1"/>
    </xf>
    <xf numFmtId="0" fontId="3" fillId="0" borderId="39" xfId="0" applyFont="1" applyBorder="1" applyAlignment="1">
      <alignment horizontal="right" vertical="center" wrapText="1" indent="1"/>
    </xf>
    <xf numFmtId="3" fontId="3" fillId="0" borderId="39" xfId="0" applyNumberFormat="1" applyFont="1" applyBorder="1" applyAlignment="1">
      <alignment horizontal="right" vertical="center" wrapText="1" indent="1"/>
    </xf>
    <xf numFmtId="0" fontId="3" fillId="3" borderId="39" xfId="0" applyFont="1" applyFill="1" applyBorder="1" applyAlignment="1">
      <alignment horizontal="right" vertical="center" wrapText="1" indent="1"/>
    </xf>
    <xf numFmtId="0" fontId="8" fillId="6" borderId="39" xfId="0" applyFont="1" applyFill="1" applyBorder="1" applyAlignment="1">
      <alignment horizontal="right" vertical="center" wrapText="1" indent="1"/>
    </xf>
    <xf numFmtId="0" fontId="4" fillId="0" borderId="2" xfId="0" applyFont="1" applyBorder="1" applyAlignment="1" applyProtection="1">
      <alignment horizontal="left" vertical="top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9" fillId="0" borderId="0" xfId="0" applyFont="1" applyProtection="1"/>
    <xf numFmtId="0" fontId="4" fillId="0" borderId="0" xfId="0" applyFont="1" applyProtection="1"/>
    <xf numFmtId="165" fontId="3" fillId="5" borderId="2" xfId="1" applyNumberFormat="1" applyFont="1" applyFill="1" applyBorder="1" applyProtection="1">
      <protection locked="0"/>
    </xf>
    <xf numFmtId="0" fontId="4" fillId="0" borderId="9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3" fontId="4" fillId="0" borderId="11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horizontal="right" vertical="top"/>
    </xf>
    <xf numFmtId="3" fontId="4" fillId="0" borderId="1" xfId="0" applyNumberFormat="1" applyFont="1" applyBorder="1" applyAlignment="1" applyProtection="1">
      <alignment horizontal="right" vertical="top"/>
    </xf>
    <xf numFmtId="10" fontId="3" fillId="0" borderId="8" xfId="2" applyNumberFormat="1" applyFont="1" applyFill="1" applyBorder="1" applyAlignment="1" applyProtection="1">
      <alignment horizontal="right" vertical="top"/>
    </xf>
    <xf numFmtId="0" fontId="3" fillId="0" borderId="9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left" vertical="top"/>
    </xf>
    <xf numFmtId="3" fontId="3" fillId="0" borderId="11" xfId="0" applyNumberFormat="1" applyFont="1" applyBorder="1" applyAlignment="1" applyProtection="1">
      <alignment vertical="top"/>
    </xf>
    <xf numFmtId="3" fontId="4" fillId="0" borderId="2" xfId="0" applyNumberFormat="1" applyFont="1" applyBorder="1" applyAlignment="1" applyProtection="1">
      <alignment vertical="top"/>
    </xf>
    <xf numFmtId="0" fontId="3" fillId="0" borderId="7" xfId="0" applyFont="1" applyBorder="1" applyAlignment="1" applyProtection="1">
      <alignment horizontal="left" vertical="top"/>
    </xf>
    <xf numFmtId="3" fontId="4" fillId="0" borderId="7" xfId="0" applyNumberFormat="1" applyFont="1" applyBorder="1" applyAlignment="1" applyProtection="1">
      <alignment vertical="top"/>
    </xf>
    <xf numFmtId="9" fontId="3" fillId="0" borderId="7" xfId="0" applyNumberFormat="1" applyFont="1" applyBorder="1" applyAlignment="1" applyProtection="1">
      <alignment horizontal="right" indent="1"/>
    </xf>
    <xf numFmtId="3" fontId="3" fillId="0" borderId="7" xfId="0" applyNumberFormat="1" applyFont="1" applyBorder="1" applyProtection="1"/>
    <xf numFmtId="166" fontId="3" fillId="0" borderId="7" xfId="2" applyNumberFormat="1" applyFont="1" applyFill="1" applyBorder="1" applyAlignment="1" applyProtection="1">
      <alignment horizontal="right" vertical="top"/>
    </xf>
    <xf numFmtId="10" fontId="3" fillId="0" borderId="14" xfId="0" applyNumberFormat="1" applyFont="1" applyBorder="1" applyAlignment="1" applyProtection="1">
      <alignment horizontal="right" indent="1"/>
    </xf>
    <xf numFmtId="0" fontId="3" fillId="0" borderId="15" xfId="0" applyFont="1" applyBorder="1" applyAlignment="1" applyProtection="1">
      <alignment horizontal="left" indent="1"/>
    </xf>
    <xf numFmtId="3" fontId="3" fillId="0" borderId="15" xfId="0" applyNumberFormat="1" applyFont="1" applyBorder="1" applyProtection="1"/>
    <xf numFmtId="3" fontId="3" fillId="0" borderId="14" xfId="0" applyNumberFormat="1" applyFont="1" applyBorder="1" applyProtection="1"/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 wrapText="1"/>
    </xf>
    <xf numFmtId="0" fontId="3" fillId="5" borderId="7" xfId="0" applyFont="1" applyFill="1" applyBorder="1" applyProtection="1">
      <protection locked="0"/>
    </xf>
    <xf numFmtId="165" fontId="3" fillId="5" borderId="7" xfId="1" applyNumberFormat="1" applyFont="1" applyFill="1" applyBorder="1" applyProtection="1">
      <protection locked="0"/>
    </xf>
    <xf numFmtId="3" fontId="3" fillId="0" borderId="0" xfId="0" applyNumberFormat="1" applyFont="1" applyBorder="1" applyProtection="1"/>
    <xf numFmtId="3" fontId="3" fillId="3" borderId="15" xfId="0" applyNumberFormat="1" applyFont="1" applyFill="1" applyBorder="1" applyProtection="1"/>
    <xf numFmtId="166" fontId="3" fillId="0" borderId="14" xfId="2" applyNumberFormat="1" applyFont="1" applyFill="1" applyBorder="1" applyAlignment="1" applyProtection="1">
      <alignment horizontal="right" vertical="top"/>
    </xf>
    <xf numFmtId="0" fontId="4" fillId="0" borderId="23" xfId="0" applyFont="1" applyBorder="1" applyAlignment="1" applyProtection="1">
      <alignment horizontal="left"/>
    </xf>
    <xf numFmtId="3" fontId="3" fillId="3" borderId="16" xfId="0" applyNumberFormat="1" applyFont="1" applyFill="1" applyBorder="1" applyProtection="1"/>
    <xf numFmtId="3" fontId="4" fillId="0" borderId="17" xfId="0" applyNumberFormat="1" applyFont="1" applyBorder="1" applyAlignment="1" applyProtection="1">
      <alignment horizontal="right" vertical="top"/>
    </xf>
    <xf numFmtId="3" fontId="4" fillId="0" borderId="16" xfId="0" applyNumberFormat="1" applyFont="1" applyBorder="1" applyAlignment="1" applyProtection="1">
      <alignment horizontal="right" vertical="top"/>
    </xf>
    <xf numFmtId="10" fontId="3" fillId="0" borderId="18" xfId="2" applyNumberFormat="1" applyFont="1" applyFill="1" applyBorder="1" applyAlignment="1" applyProtection="1">
      <alignment horizontal="right" vertical="top"/>
    </xf>
    <xf numFmtId="0" fontId="3" fillId="0" borderId="24" xfId="0" applyFont="1" applyBorder="1" applyProtection="1">
      <protection locked="0"/>
    </xf>
    <xf numFmtId="0" fontId="3" fillId="5" borderId="25" xfId="0" applyFont="1" applyFill="1" applyBorder="1" applyAlignment="1" applyProtection="1">
      <alignment horizontal="right"/>
      <protection locked="0"/>
    </xf>
    <xf numFmtId="3" fontId="3" fillId="3" borderId="0" xfId="0" applyNumberFormat="1" applyFont="1" applyFill="1" applyBorder="1" applyProtection="1"/>
    <xf numFmtId="0" fontId="3" fillId="0" borderId="26" xfId="0" applyFont="1" applyFill="1" applyBorder="1" applyProtection="1">
      <protection locked="0"/>
    </xf>
    <xf numFmtId="0" fontId="3" fillId="5" borderId="27" xfId="0" applyFont="1" applyFill="1" applyBorder="1" applyAlignment="1" applyProtection="1">
      <alignment horizontal="right"/>
      <protection locked="0"/>
    </xf>
    <xf numFmtId="0" fontId="3" fillId="5" borderId="14" xfId="0" applyFont="1" applyFill="1" applyBorder="1" applyProtection="1">
      <protection locked="0"/>
    </xf>
    <xf numFmtId="165" fontId="3" fillId="5" borderId="14" xfId="1" applyNumberFormat="1" applyFont="1" applyFill="1" applyBorder="1" applyProtection="1">
      <protection locked="0"/>
    </xf>
    <xf numFmtId="0" fontId="3" fillId="0" borderId="28" xfId="0" applyFont="1" applyFill="1" applyBorder="1" applyProtection="1">
      <protection locked="0"/>
    </xf>
    <xf numFmtId="0" fontId="3" fillId="0" borderId="24" xfId="0" applyFont="1" applyFill="1" applyBorder="1" applyProtection="1">
      <protection locked="0"/>
    </xf>
    <xf numFmtId="3" fontId="4" fillId="0" borderId="18" xfId="0" applyNumberFormat="1" applyFont="1" applyBorder="1" applyAlignment="1" applyProtection="1">
      <alignment horizontal="right" vertical="top"/>
    </xf>
    <xf numFmtId="0" fontId="3" fillId="0" borderId="18" xfId="0" applyFont="1" applyBorder="1" applyProtection="1"/>
    <xf numFmtId="3" fontId="4" fillId="0" borderId="29" xfId="0" applyNumberFormat="1" applyFont="1" applyBorder="1" applyAlignment="1" applyProtection="1">
      <alignment horizontal="right" vertical="top"/>
    </xf>
    <xf numFmtId="0" fontId="3" fillId="0" borderId="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3" fontId="4" fillId="0" borderId="7" xfId="0" applyNumberFormat="1" applyFont="1" applyBorder="1" applyAlignment="1" applyProtection="1">
      <alignment horizontal="right" vertical="top"/>
    </xf>
    <xf numFmtId="3" fontId="4" fillId="0" borderId="3" xfId="0" applyNumberFormat="1" applyFont="1" applyBorder="1" applyAlignment="1" applyProtection="1">
      <alignment horizontal="right" vertical="top"/>
    </xf>
    <xf numFmtId="0" fontId="3" fillId="5" borderId="31" xfId="0" applyFont="1" applyFill="1" applyBorder="1" applyAlignment="1" applyProtection="1">
      <alignment horizontal="right" wrapText="1"/>
      <protection locked="0"/>
    </xf>
    <xf numFmtId="0" fontId="3" fillId="5" borderId="2" xfId="0" applyFont="1" applyFill="1" applyBorder="1" applyProtection="1">
      <protection locked="0"/>
    </xf>
    <xf numFmtId="3" fontId="3" fillId="0" borderId="3" xfId="0" applyNumberFormat="1" applyFont="1" applyBorder="1" applyProtection="1"/>
    <xf numFmtId="10" fontId="3" fillId="0" borderId="17" xfId="2" applyNumberFormat="1" applyFont="1" applyFill="1" applyBorder="1" applyAlignment="1" applyProtection="1">
      <alignment horizontal="right" vertical="top"/>
    </xf>
    <xf numFmtId="165" fontId="3" fillId="0" borderId="2" xfId="1" applyNumberFormat="1" applyFont="1" applyFill="1" applyBorder="1" applyProtection="1"/>
    <xf numFmtId="3" fontId="4" fillId="5" borderId="1" xfId="0" applyNumberFormat="1" applyFont="1" applyFill="1" applyBorder="1" applyAlignment="1" applyProtection="1">
      <alignment vertical="top"/>
      <protection locked="0"/>
    </xf>
    <xf numFmtId="10" fontId="3" fillId="0" borderId="2" xfId="2" applyNumberFormat="1" applyFont="1" applyFill="1" applyBorder="1" applyAlignment="1" applyProtection="1">
      <alignment horizontal="right" vertical="top"/>
    </xf>
    <xf numFmtId="165" fontId="3" fillId="0" borderId="6" xfId="1" applyNumberFormat="1" applyFont="1" applyFill="1" applyBorder="1" applyProtection="1"/>
    <xf numFmtId="3" fontId="4" fillId="0" borderId="6" xfId="0" applyNumberFormat="1" applyFont="1" applyBorder="1" applyAlignment="1" applyProtection="1">
      <alignment vertical="top"/>
    </xf>
    <xf numFmtId="3" fontId="4" fillId="5" borderId="19" xfId="0" applyNumberFormat="1" applyFont="1" applyFill="1" applyBorder="1" applyAlignment="1" applyProtection="1">
      <alignment vertical="top"/>
      <protection locked="0"/>
    </xf>
    <xf numFmtId="165" fontId="3" fillId="5" borderId="12" xfId="1" applyNumberFormat="1" applyFont="1" applyFill="1" applyBorder="1" applyProtection="1">
      <protection locked="0"/>
    </xf>
    <xf numFmtId="3" fontId="4" fillId="0" borderId="12" xfId="0" applyNumberFormat="1" applyFont="1" applyBorder="1" applyAlignment="1" applyProtection="1">
      <alignment vertical="top"/>
    </xf>
    <xf numFmtId="10" fontId="3" fillId="0" borderId="12" xfId="2" applyNumberFormat="1" applyFont="1" applyFill="1" applyBorder="1" applyAlignment="1" applyProtection="1">
      <alignment horizontal="right" vertical="top"/>
    </xf>
    <xf numFmtId="10" fontId="3" fillId="0" borderId="7" xfId="2" applyNumberFormat="1" applyFont="1" applyFill="1" applyBorder="1" applyAlignment="1" applyProtection="1">
      <alignment horizontal="right" vertical="top"/>
    </xf>
    <xf numFmtId="0" fontId="3" fillId="0" borderId="37" xfId="0" applyFont="1" applyBorder="1" applyAlignment="1" applyProtection="1">
      <alignment horizontal="left" vertical="top" wrapText="1"/>
    </xf>
    <xf numFmtId="166" fontId="3" fillId="5" borderId="35" xfId="0" applyNumberFormat="1" applyFont="1" applyFill="1" applyBorder="1" applyAlignment="1" applyProtection="1">
      <alignment horizontal="center" vertical="top"/>
      <protection locked="0"/>
    </xf>
    <xf numFmtId="0" fontId="3" fillId="0" borderId="38" xfId="0" applyFont="1" applyBorder="1" applyAlignment="1" applyProtection="1">
      <alignment horizontal="left" vertical="top" wrapText="1"/>
    </xf>
    <xf numFmtId="3" fontId="4" fillId="0" borderId="9" xfId="0" applyNumberFormat="1" applyFont="1" applyBorder="1" applyAlignment="1" applyProtection="1">
      <alignment vertical="top"/>
    </xf>
    <xf numFmtId="3" fontId="3" fillId="0" borderId="2" xfId="0" applyNumberFormat="1" applyFont="1" applyFill="1" applyBorder="1" applyAlignment="1" applyProtection="1">
      <alignment vertical="top"/>
    </xf>
    <xf numFmtId="10" fontId="3" fillId="5" borderId="35" xfId="0" applyNumberFormat="1" applyFont="1" applyFill="1" applyBorder="1" applyAlignment="1" applyProtection="1">
      <alignment horizontal="center" vertical="top"/>
      <protection locked="0"/>
    </xf>
    <xf numFmtId="0" fontId="4" fillId="5" borderId="36" xfId="0" applyFont="1" applyFill="1" applyBorder="1" applyAlignment="1" applyProtection="1">
      <alignment horizontal="center" vertical="top"/>
      <protection locked="0"/>
    </xf>
    <xf numFmtId="3" fontId="4" fillId="0" borderId="34" xfId="0" applyNumberFormat="1" applyFont="1" applyBorder="1" applyAlignment="1" applyProtection="1">
      <alignment vertical="top"/>
    </xf>
    <xf numFmtId="3" fontId="3" fillId="0" borderId="13" xfId="0" applyNumberFormat="1" applyFont="1" applyBorder="1" applyAlignment="1" applyProtection="1">
      <alignment vertical="top"/>
    </xf>
    <xf numFmtId="10" fontId="3" fillId="0" borderId="0" xfId="0" applyNumberFormat="1" applyFont="1" applyProtection="1"/>
    <xf numFmtId="165" fontId="3" fillId="0" borderId="2" xfId="1" applyNumberFormat="1" applyFont="1" applyBorder="1" applyProtection="1"/>
    <xf numFmtId="165" fontId="3" fillId="0" borderId="0" xfId="0" applyNumberFormat="1" applyFont="1" applyProtection="1"/>
    <xf numFmtId="10" fontId="3" fillId="0" borderId="0" xfId="2" applyNumberFormat="1" applyFont="1" applyProtection="1"/>
    <xf numFmtId="167" fontId="3" fillId="0" borderId="0" xfId="0" applyNumberFormat="1" applyFont="1" applyProtection="1"/>
    <xf numFmtId="165" fontId="4" fillId="0" borderId="2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 wrapText="1"/>
      <protection locked="0"/>
    </xf>
    <xf numFmtId="165" fontId="4" fillId="0" borderId="31" xfId="0" applyNumberFormat="1" applyFont="1" applyBorder="1" applyAlignment="1" applyProtection="1">
      <alignment horizontal="center" vertical="center"/>
    </xf>
    <xf numFmtId="165" fontId="4" fillId="0" borderId="43" xfId="0" applyNumberFormat="1" applyFont="1" applyBorder="1" applyAlignment="1" applyProtection="1">
      <alignment horizontal="center" vertical="center"/>
    </xf>
    <xf numFmtId="165" fontId="12" fillId="0" borderId="9" xfId="0" applyNumberFormat="1" applyFont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  <protection locked="0"/>
    </xf>
    <xf numFmtId="0" fontId="3" fillId="5" borderId="47" xfId="0" applyFont="1" applyFill="1" applyBorder="1" applyAlignment="1" applyProtection="1">
      <alignment horizontal="right" vertical="center"/>
      <protection locked="0"/>
    </xf>
    <xf numFmtId="165" fontId="3" fillId="5" borderId="2" xfId="1" applyNumberFormat="1" applyFont="1" applyFill="1" applyBorder="1" applyAlignment="1" applyProtection="1">
      <alignment horizontal="center" vertical="center"/>
      <protection locked="0"/>
    </xf>
    <xf numFmtId="0" fontId="3" fillId="5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10" fontId="3" fillId="0" borderId="2" xfId="0" applyNumberFormat="1" applyFont="1" applyBorder="1" applyAlignment="1" applyProtection="1">
      <alignment horizontal="center" vertical="center"/>
    </xf>
    <xf numFmtId="10" fontId="3" fillId="0" borderId="11" xfId="0" applyNumberFormat="1" applyFont="1" applyBorder="1" applyAlignment="1" applyProtection="1">
      <alignment horizontal="center" vertical="center"/>
    </xf>
    <xf numFmtId="0" fontId="4" fillId="0" borderId="31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center" vertical="center"/>
    </xf>
    <xf numFmtId="3" fontId="4" fillId="0" borderId="2" xfId="0" applyNumberFormat="1" applyFont="1" applyBorder="1" applyAlignment="1" applyProtection="1">
      <alignment horizontal="center" vertical="center"/>
    </xf>
    <xf numFmtId="3" fontId="4" fillId="0" borderId="43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</xf>
    <xf numFmtId="166" fontId="3" fillId="0" borderId="2" xfId="2" applyNumberFormat="1" applyFont="1" applyBorder="1" applyAlignment="1" applyProtection="1">
      <alignment horizontal="center" vertical="center"/>
    </xf>
    <xf numFmtId="166" fontId="3" fillId="0" borderId="11" xfId="2" applyNumberFormat="1" applyFont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locked="0"/>
    </xf>
    <xf numFmtId="165" fontId="3" fillId="3" borderId="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4" fillId="3" borderId="43" xfId="1" applyNumberFormat="1" applyFont="1" applyFill="1" applyBorder="1" applyAlignment="1" applyProtection="1">
      <alignment horizontal="center" vertical="center"/>
    </xf>
    <xf numFmtId="165" fontId="4" fillId="3" borderId="31" xfId="1" applyNumberFormat="1" applyFont="1" applyFill="1" applyBorder="1" applyAlignment="1" applyProtection="1">
      <alignment horizontal="center" vertical="center"/>
    </xf>
    <xf numFmtId="165" fontId="4" fillId="3" borderId="11" xfId="1" applyNumberFormat="1" applyFont="1" applyFill="1" applyBorder="1" applyAlignment="1" applyProtection="1">
      <alignment horizontal="center" vertical="center"/>
    </xf>
    <xf numFmtId="165" fontId="3" fillId="3" borderId="31" xfId="1" applyNumberFormat="1" applyFont="1" applyFill="1" applyBorder="1" applyAlignment="1" applyProtection="1">
      <alignment horizontal="center" vertical="center"/>
    </xf>
    <xf numFmtId="165" fontId="3" fillId="3" borderId="43" xfId="1" applyNumberFormat="1" applyFont="1" applyFill="1" applyBorder="1" applyAlignment="1" applyProtection="1">
      <alignment horizontal="center" vertical="center"/>
    </xf>
    <xf numFmtId="165" fontId="5" fillId="3" borderId="9" xfId="1" applyNumberFormat="1" applyFont="1" applyFill="1" applyBorder="1" applyAlignment="1" applyProtection="1">
      <alignment horizontal="center" vertical="center"/>
    </xf>
    <xf numFmtId="0" fontId="3" fillId="5" borderId="31" xfId="0" applyFont="1" applyFill="1" applyBorder="1" applyAlignment="1" applyProtection="1">
      <alignment horizontal="center" vertical="center" wrapText="1"/>
      <protection locked="0"/>
    </xf>
    <xf numFmtId="3" fontId="3" fillId="0" borderId="2" xfId="0" applyNumberFormat="1" applyFont="1" applyBorder="1" applyAlignment="1" applyProtection="1">
      <alignment horizontal="center" vertical="center"/>
    </xf>
    <xf numFmtId="165" fontId="3" fillId="3" borderId="11" xfId="1" applyNumberFormat="1" applyFont="1" applyFill="1" applyBorder="1" applyAlignment="1" applyProtection="1">
      <alignment horizontal="center" vertical="center"/>
    </xf>
    <xf numFmtId="165" fontId="3" fillId="5" borderId="2" xfId="5" applyNumberFormat="1" applyFont="1" applyFill="1" applyBorder="1" applyAlignment="1" applyProtection="1">
      <alignment horizontal="center" vertical="center"/>
      <protection locked="0"/>
    </xf>
    <xf numFmtId="165" fontId="3" fillId="5" borderId="9" xfId="5" applyNumberFormat="1" applyFont="1" applyFill="1" applyBorder="1" applyAlignment="1" applyProtection="1">
      <alignment horizontal="center" vertical="center"/>
      <protection locked="0"/>
    </xf>
    <xf numFmtId="164" fontId="3" fillId="3" borderId="43" xfId="1" applyFont="1" applyFill="1" applyBorder="1" applyAlignment="1" applyProtection="1">
      <alignment horizontal="center" vertical="center"/>
    </xf>
    <xf numFmtId="165" fontId="3" fillId="5" borderId="9" xfId="1" applyNumberFormat="1" applyFont="1" applyFill="1" applyBorder="1" applyAlignment="1" applyProtection="1">
      <alignment horizontal="center" vertical="center"/>
      <protection locked="0"/>
    </xf>
    <xf numFmtId="0" fontId="3" fillId="5" borderId="44" xfId="0" applyFont="1" applyFill="1" applyBorder="1" applyAlignment="1" applyProtection="1">
      <alignment horizontal="center" vertical="center"/>
      <protection locked="0"/>
    </xf>
    <xf numFmtId="165" fontId="3" fillId="5" borderId="12" xfId="1" applyNumberFormat="1" applyFont="1" applyFill="1" applyBorder="1" applyAlignment="1" applyProtection="1">
      <alignment horizontal="center" vertical="center"/>
      <protection locked="0"/>
    </xf>
    <xf numFmtId="165" fontId="3" fillId="5" borderId="34" xfId="5" applyNumberFormat="1" applyFont="1" applyFill="1" applyBorder="1" applyAlignment="1" applyProtection="1">
      <alignment horizontal="center" vertical="center"/>
      <protection locked="0"/>
    </xf>
    <xf numFmtId="165" fontId="3" fillId="3" borderId="12" xfId="1" applyNumberFormat="1" applyFont="1" applyFill="1" applyBorder="1" applyAlignment="1" applyProtection="1">
      <alignment horizontal="center" vertical="center"/>
    </xf>
    <xf numFmtId="165" fontId="3" fillId="3" borderId="45" xfId="1" applyNumberFormat="1" applyFont="1" applyFill="1" applyBorder="1" applyAlignment="1" applyProtection="1">
      <alignment horizontal="center" vertical="center"/>
    </xf>
    <xf numFmtId="165" fontId="3" fillId="5" borderId="12" xfId="5" applyNumberFormat="1" applyFont="1" applyFill="1" applyBorder="1" applyAlignment="1" applyProtection="1">
      <alignment horizontal="center" vertical="center"/>
      <protection locked="0"/>
    </xf>
    <xf numFmtId="165" fontId="3" fillId="3" borderId="44" xfId="1" applyNumberFormat="1" applyFont="1" applyFill="1" applyBorder="1" applyAlignment="1" applyProtection="1">
      <alignment horizontal="center" vertical="center"/>
    </xf>
    <xf numFmtId="164" fontId="3" fillId="3" borderId="45" xfId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 vertical="center"/>
    </xf>
    <xf numFmtId="0" fontId="4" fillId="0" borderId="47" xfId="0" applyFont="1" applyBorder="1" applyAlignment="1" applyProtection="1">
      <alignment horizontal="right" vertical="center"/>
    </xf>
    <xf numFmtId="0" fontId="3" fillId="3" borderId="47" xfId="0" applyFont="1" applyFill="1" applyBorder="1" applyAlignment="1" applyProtection="1">
      <alignment horizontal="right" vertical="center"/>
    </xf>
    <xf numFmtId="0" fontId="4" fillId="0" borderId="2" xfId="0" applyFont="1" applyBorder="1" applyAlignment="1" applyProtection="1">
      <alignment horizontal="center" vertical="center"/>
    </xf>
    <xf numFmtId="164" fontId="10" fillId="0" borderId="9" xfId="0" applyNumberFormat="1" applyFont="1" applyBorder="1" applyAlignment="1" applyProtection="1">
      <alignment horizontal="center" vertical="center"/>
    </xf>
    <xf numFmtId="9" fontId="5" fillId="0" borderId="45" xfId="2" applyFont="1" applyBorder="1" applyAlignment="1" applyProtection="1">
      <alignment horizontal="center" vertical="center"/>
    </xf>
    <xf numFmtId="165" fontId="12" fillId="0" borderId="43" xfId="0" applyNumberFormat="1" applyFont="1" applyBorder="1" applyAlignment="1" applyProtection="1">
      <alignment horizontal="center" vertical="center"/>
    </xf>
    <xf numFmtId="165" fontId="5" fillId="3" borderId="43" xfId="1" applyNumberFormat="1" applyFont="1" applyFill="1" applyBorder="1" applyAlignment="1" applyProtection="1">
      <alignment horizontal="center" vertical="center"/>
    </xf>
    <xf numFmtId="9" fontId="5" fillId="0" borderId="43" xfId="2" applyFont="1" applyBorder="1" applyAlignment="1" applyProtection="1">
      <alignment horizontal="center" vertical="center"/>
    </xf>
    <xf numFmtId="164" fontId="10" fillId="0" borderId="44" xfId="0" applyNumberFormat="1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 wrapText="1"/>
      <protection locked="0"/>
    </xf>
    <xf numFmtId="0" fontId="3" fillId="5" borderId="9" xfId="0" applyFont="1" applyFill="1" applyBorder="1" applyAlignment="1" applyProtection="1">
      <alignment horizontal="left" vertical="center"/>
      <protection locked="0"/>
    </xf>
    <xf numFmtId="0" fontId="3" fillId="5" borderId="34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</xf>
    <xf numFmtId="9" fontId="3" fillId="0" borderId="0" xfId="0" applyNumberFormat="1" applyFont="1" applyBorder="1" applyAlignment="1" applyProtection="1">
      <alignment horizontal="right" indent="1"/>
    </xf>
    <xf numFmtId="10" fontId="3" fillId="0" borderId="15" xfId="0" applyNumberFormat="1" applyFont="1" applyBorder="1" applyAlignment="1" applyProtection="1">
      <alignment horizontal="right" indent="1"/>
    </xf>
    <xf numFmtId="0" fontId="3" fillId="0" borderId="57" xfId="0" applyFont="1" applyBorder="1" applyAlignment="1" applyProtection="1">
      <alignment horizontal="left" vertical="top" wrapText="1"/>
    </xf>
    <xf numFmtId="165" fontId="3" fillId="0" borderId="0" xfId="1" applyNumberFormat="1" applyFont="1" applyAlignment="1" applyProtection="1">
      <alignment horizontal="center" vertical="center"/>
    </xf>
    <xf numFmtId="0" fontId="3" fillId="0" borderId="2" xfId="0" applyFont="1" applyBorder="1" applyAlignment="1" applyProtection="1">
      <alignment horizontal="right" vertical="center"/>
    </xf>
    <xf numFmtId="165" fontId="3" fillId="0" borderId="2" xfId="1" applyNumberFormat="1" applyFont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5" borderId="58" xfId="0" applyFont="1" applyFill="1" applyBorder="1" applyAlignment="1" applyProtection="1">
      <alignment horizontal="right" vertical="center"/>
      <protection locked="0"/>
    </xf>
    <xf numFmtId="165" fontId="3" fillId="3" borderId="2" xfId="1" applyNumberFormat="1" applyFont="1" applyFill="1" applyBorder="1" applyAlignment="1" applyProtection="1">
      <alignment horizontal="left" vertical="center"/>
    </xf>
    <xf numFmtId="164" fontId="3" fillId="3" borderId="2" xfId="1" applyNumberFormat="1" applyFont="1" applyFill="1" applyBorder="1" applyAlignment="1" applyProtection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5" fontId="3" fillId="3" borderId="31" xfId="1" applyNumberFormat="1" applyFont="1" applyFill="1" applyBorder="1" applyAlignment="1" applyProtection="1">
      <alignment horizontal="left" vertical="center"/>
    </xf>
    <xf numFmtId="164" fontId="3" fillId="3" borderId="43" xfId="1" applyNumberFormat="1" applyFont="1" applyFill="1" applyBorder="1" applyAlignment="1" applyProtection="1">
      <alignment horizontal="center" vertical="center"/>
    </xf>
    <xf numFmtId="165" fontId="3" fillId="3" borderId="44" xfId="1" applyNumberFormat="1" applyFont="1" applyFill="1" applyBorder="1" applyAlignment="1" applyProtection="1">
      <alignment horizontal="left" vertical="center"/>
    </xf>
    <xf numFmtId="165" fontId="3" fillId="3" borderId="12" xfId="1" applyNumberFormat="1" applyFont="1" applyFill="1" applyBorder="1" applyAlignment="1" applyProtection="1">
      <alignment horizontal="left" vertical="center"/>
    </xf>
    <xf numFmtId="164" fontId="3" fillId="3" borderId="12" xfId="1" applyNumberFormat="1" applyFont="1" applyFill="1" applyBorder="1" applyAlignment="1" applyProtection="1">
      <alignment horizontal="center" vertical="center"/>
    </xf>
    <xf numFmtId="164" fontId="3" fillId="3" borderId="45" xfId="1" applyNumberFormat="1" applyFont="1" applyFill="1" applyBorder="1" applyAlignment="1" applyProtection="1">
      <alignment horizontal="center" vertical="center"/>
    </xf>
    <xf numFmtId="165" fontId="4" fillId="3" borderId="20" xfId="1" applyNumberFormat="1" applyFont="1" applyFill="1" applyBorder="1" applyAlignment="1" applyProtection="1">
      <alignment horizontal="center" vertical="center"/>
    </xf>
    <xf numFmtId="165" fontId="4" fillId="3" borderId="21" xfId="1" applyNumberFormat="1" applyFont="1" applyFill="1" applyBorder="1" applyAlignment="1" applyProtection="1">
      <alignment horizontal="center" vertical="center"/>
    </xf>
    <xf numFmtId="165" fontId="4" fillId="3" borderId="22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 wrapText="1"/>
    </xf>
    <xf numFmtId="165" fontId="3" fillId="0" borderId="0" xfId="0" applyNumberFormat="1" applyFont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3" fontId="3" fillId="0" borderId="0" xfId="0" applyNumberFormat="1" applyFont="1"/>
    <xf numFmtId="0" fontId="3" fillId="0" borderId="0" xfId="0" applyFont="1" applyAlignment="1">
      <alignment wrapText="1"/>
    </xf>
    <xf numFmtId="0" fontId="17" fillId="0" borderId="0" xfId="0" applyFont="1" applyFill="1" applyBorder="1" applyAlignment="1" applyProtection="1">
      <alignment horizontal="left" vertical="center"/>
    </xf>
    <xf numFmtId="0" fontId="18" fillId="0" borderId="0" xfId="0" applyFont="1" applyFill="1"/>
    <xf numFmtId="0" fontId="18" fillId="0" borderId="0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8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8" fillId="0" borderId="31" xfId="0" applyFont="1" applyBorder="1"/>
    <xf numFmtId="0" fontId="18" fillId="0" borderId="44" xfId="0" applyFont="1" applyBorder="1"/>
    <xf numFmtId="0" fontId="18" fillId="0" borderId="12" xfId="0" applyFont="1" applyBorder="1"/>
    <xf numFmtId="0" fontId="17" fillId="0" borderId="55" xfId="0" applyFont="1" applyBorder="1" applyAlignment="1">
      <alignment horizontal="left" vertical="center"/>
    </xf>
    <xf numFmtId="0" fontId="17" fillId="0" borderId="48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locked="0"/>
    </xf>
    <xf numFmtId="0" fontId="17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164" fontId="18" fillId="0" borderId="2" xfId="1" applyFont="1" applyBorder="1"/>
    <xf numFmtId="164" fontId="18" fillId="0" borderId="12" xfId="1" applyFont="1" applyBorder="1"/>
    <xf numFmtId="164" fontId="18" fillId="0" borderId="43" xfId="1" applyFont="1" applyBorder="1"/>
    <xf numFmtId="164" fontId="18" fillId="0" borderId="45" xfId="1" applyFont="1" applyBorder="1"/>
    <xf numFmtId="164" fontId="18" fillId="0" borderId="31" xfId="1" applyFont="1" applyBorder="1"/>
    <xf numFmtId="164" fontId="18" fillId="0" borderId="44" xfId="1" applyFont="1" applyBorder="1"/>
    <xf numFmtId="165" fontId="17" fillId="0" borderId="2" xfId="1" applyNumberFormat="1" applyFont="1" applyBorder="1" applyAlignment="1">
      <alignment horizontal="center"/>
    </xf>
    <xf numFmtId="165" fontId="17" fillId="0" borderId="12" xfId="1" applyNumberFormat="1" applyFont="1" applyBorder="1" applyAlignment="1">
      <alignment horizontal="center"/>
    </xf>
    <xf numFmtId="10" fontId="3" fillId="0" borderId="43" xfId="2" applyNumberFormat="1" applyFont="1" applyFill="1" applyBorder="1" applyAlignment="1" applyProtection="1">
      <alignment horizontal="right" vertical="top"/>
    </xf>
    <xf numFmtId="10" fontId="3" fillId="0" borderId="45" xfId="2" applyNumberFormat="1" applyFont="1" applyFill="1" applyBorder="1" applyAlignment="1" applyProtection="1">
      <alignment horizontal="right" vertical="top"/>
    </xf>
    <xf numFmtId="164" fontId="17" fillId="0" borderId="31" xfId="1" applyFont="1" applyBorder="1" applyAlignment="1">
      <alignment vertical="center" wrapText="1"/>
    </xf>
    <xf numFmtId="164" fontId="17" fillId="0" borderId="44" xfId="1" applyFont="1" applyBorder="1" applyAlignment="1">
      <alignment vertical="center" wrapText="1"/>
    </xf>
    <xf numFmtId="0" fontId="18" fillId="0" borderId="0" xfId="0" applyFont="1" applyAlignment="1">
      <alignment horizontal="left" wrapText="1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3" fillId="0" borderId="41" xfId="0" applyFont="1" applyBorder="1" applyProtection="1">
      <protection locked="0"/>
    </xf>
    <xf numFmtId="10" fontId="3" fillId="0" borderId="60" xfId="2" applyNumberFormat="1" applyFont="1" applyFill="1" applyBorder="1" applyAlignment="1" applyProtection="1">
      <alignment horizontal="right" vertical="top"/>
    </xf>
    <xf numFmtId="0" fontId="3" fillId="0" borderId="26" xfId="0" applyFont="1" applyBorder="1" applyAlignment="1" applyProtection="1">
      <alignment horizontal="left" vertical="top" wrapText="1"/>
      <protection locked="0"/>
    </xf>
    <xf numFmtId="0" fontId="3" fillId="0" borderId="61" xfId="0" applyFont="1" applyBorder="1" applyAlignment="1" applyProtection="1">
      <alignment horizontal="center"/>
      <protection locked="0"/>
    </xf>
    <xf numFmtId="0" fontId="3" fillId="0" borderId="26" xfId="0" applyFont="1" applyBorder="1" applyProtection="1">
      <protection locked="0"/>
    </xf>
    <xf numFmtId="0" fontId="3" fillId="0" borderId="28" xfId="0" applyFont="1" applyBorder="1" applyProtection="1">
      <protection locked="0"/>
    </xf>
    <xf numFmtId="10" fontId="9" fillId="0" borderId="24" xfId="0" applyNumberFormat="1" applyFont="1" applyFill="1" applyBorder="1" applyAlignment="1" applyProtection="1">
      <protection locked="0"/>
    </xf>
    <xf numFmtId="166" fontId="3" fillId="0" borderId="3" xfId="2" applyNumberFormat="1" applyFont="1" applyFill="1" applyBorder="1" applyAlignment="1" applyProtection="1">
      <alignment horizontal="right" vertical="top"/>
    </xf>
    <xf numFmtId="166" fontId="3" fillId="0" borderId="62" xfId="2" applyNumberFormat="1" applyFont="1" applyFill="1" applyBorder="1" applyAlignment="1" applyProtection="1">
      <alignment horizontal="right" vertical="top"/>
    </xf>
    <xf numFmtId="166" fontId="3" fillId="0" borderId="28" xfId="2" applyNumberFormat="1" applyFont="1" applyBorder="1" applyAlignment="1" applyProtection="1">
      <alignment horizontal="right" vertical="top"/>
      <protection locked="0"/>
    </xf>
    <xf numFmtId="0" fontId="3" fillId="0" borderId="54" xfId="0" applyFont="1" applyBorder="1" applyProtection="1">
      <protection locked="0"/>
    </xf>
    <xf numFmtId="0" fontId="3" fillId="0" borderId="61" xfId="0" applyFont="1" applyBorder="1" applyProtection="1">
      <protection locked="0"/>
    </xf>
    <xf numFmtId="166" fontId="3" fillId="0" borderId="8" xfId="2" applyNumberFormat="1" applyFont="1" applyFill="1" applyBorder="1" applyAlignment="1" applyProtection="1">
      <alignment horizontal="right" vertical="top"/>
    </xf>
    <xf numFmtId="0" fontId="3" fillId="0" borderId="43" xfId="0" applyFont="1" applyBorder="1" applyProtection="1">
      <protection locked="0"/>
    </xf>
    <xf numFmtId="0" fontId="3" fillId="0" borderId="53" xfId="0" applyFont="1" applyBorder="1" applyAlignment="1" applyProtection="1">
      <alignment wrapText="1"/>
      <protection locked="0"/>
    </xf>
    <xf numFmtId="10" fontId="9" fillId="0" borderId="43" xfId="0" applyNumberFormat="1" applyFont="1" applyFill="1" applyBorder="1" applyAlignment="1" applyProtection="1">
      <protection locked="0"/>
    </xf>
    <xf numFmtId="0" fontId="3" fillId="0" borderId="41" xfId="0" applyFont="1" applyBorder="1" applyAlignment="1" applyProtection="1">
      <alignment wrapText="1"/>
      <protection locked="0"/>
    </xf>
    <xf numFmtId="0" fontId="3" fillId="0" borderId="43" xfId="0" applyFont="1" applyBorder="1" applyAlignment="1" applyProtection="1">
      <alignment wrapText="1"/>
      <protection locked="0"/>
    </xf>
    <xf numFmtId="0" fontId="3" fillId="0" borderId="45" xfId="0" applyFont="1" applyBorder="1" applyAlignment="1" applyProtection="1">
      <alignment wrapText="1"/>
      <protection locked="0"/>
    </xf>
    <xf numFmtId="0" fontId="3" fillId="0" borderId="24" xfId="0" applyFont="1" applyBorder="1" applyAlignment="1" applyProtection="1">
      <alignment wrapText="1"/>
      <protection locked="0"/>
    </xf>
    <xf numFmtId="10" fontId="9" fillId="0" borderId="45" xfId="0" applyNumberFormat="1" applyFont="1" applyFill="1" applyBorder="1" applyAlignment="1" applyProtection="1">
      <protection locked="0"/>
    </xf>
    <xf numFmtId="0" fontId="3" fillId="0" borderId="54" xfId="0" applyFont="1" applyFill="1" applyBorder="1" applyAlignment="1" applyProtection="1">
      <alignment wrapText="1"/>
      <protection locked="0"/>
    </xf>
    <xf numFmtId="0" fontId="10" fillId="4" borderId="21" xfId="0" applyFont="1" applyFill="1" applyBorder="1" applyAlignment="1" applyProtection="1">
      <alignment horizontal="right" vertical="top"/>
    </xf>
    <xf numFmtId="0" fontId="3" fillId="4" borderId="22" xfId="0" applyFont="1" applyFill="1" applyBorder="1" applyProtection="1"/>
    <xf numFmtId="10" fontId="10" fillId="0" borderId="18" xfId="0" applyNumberFormat="1" applyFont="1" applyBorder="1" applyAlignment="1" applyProtection="1">
      <alignment horizontal="right" vertical="top"/>
    </xf>
    <xf numFmtId="0" fontId="3" fillId="0" borderId="48" xfId="0" applyFont="1" applyBorder="1" applyProtection="1">
      <protection locked="0"/>
    </xf>
    <xf numFmtId="10" fontId="10" fillId="0" borderId="14" xfId="0" applyNumberFormat="1" applyFont="1" applyBorder="1" applyAlignment="1" applyProtection="1">
      <alignment horizontal="right" vertical="top"/>
    </xf>
    <xf numFmtId="3" fontId="4" fillId="3" borderId="45" xfId="0" applyNumberFormat="1" applyFont="1" applyFill="1" applyBorder="1" applyAlignment="1" applyProtection="1">
      <alignment vertical="top"/>
      <protection locked="0"/>
    </xf>
    <xf numFmtId="0" fontId="4" fillId="2" borderId="55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vertical="top"/>
    </xf>
    <xf numFmtId="0" fontId="4" fillId="0" borderId="31" xfId="0" applyFont="1" applyBorder="1" applyAlignment="1" applyProtection="1">
      <alignment horizontal="left" vertical="top"/>
    </xf>
    <xf numFmtId="0" fontId="4" fillId="0" borderId="25" xfId="0" applyFont="1" applyBorder="1" applyAlignment="1" applyProtection="1">
      <alignment horizontal="left" vertical="top"/>
    </xf>
    <xf numFmtId="3" fontId="3" fillId="0" borderId="0" xfId="0" applyNumberFormat="1" applyFont="1" applyBorder="1" applyAlignment="1" applyProtection="1">
      <alignment vertical="top"/>
    </xf>
    <xf numFmtId="3" fontId="4" fillId="0" borderId="0" xfId="0" applyNumberFormat="1" applyFont="1" applyBorder="1" applyAlignment="1" applyProtection="1">
      <alignment vertical="top"/>
    </xf>
    <xf numFmtId="0" fontId="3" fillId="0" borderId="25" xfId="0" applyFont="1" applyBorder="1" applyAlignment="1" applyProtection="1">
      <alignment horizontal="right" indent="1"/>
    </xf>
    <xf numFmtId="0" fontId="3" fillId="0" borderId="0" xfId="0" applyFont="1" applyBorder="1" applyAlignment="1" applyProtection="1">
      <alignment horizontal="right" indent="1"/>
    </xf>
    <xf numFmtId="3" fontId="3" fillId="0" borderId="0" xfId="0" applyNumberFormat="1" applyFont="1" applyBorder="1" applyAlignment="1" applyProtection="1">
      <alignment horizontal="center" vertical="center"/>
    </xf>
    <xf numFmtId="10" fontId="3" fillId="0" borderId="4" xfId="0" applyNumberFormat="1" applyFont="1" applyBorder="1" applyAlignment="1" applyProtection="1">
      <alignment horizontal="right" indent="1"/>
    </xf>
    <xf numFmtId="3" fontId="3" fillId="0" borderId="4" xfId="0" applyNumberFormat="1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right" indent="1"/>
    </xf>
    <xf numFmtId="0" fontId="4" fillId="0" borderId="23" xfId="0" applyFont="1" applyBorder="1" applyProtection="1"/>
    <xf numFmtId="3" fontId="4" fillId="0" borderId="16" xfId="0" applyNumberFormat="1" applyFont="1" applyBorder="1" applyProtection="1"/>
    <xf numFmtId="3" fontId="4" fillId="0" borderId="17" xfId="0" applyNumberFormat="1" applyFont="1" applyBorder="1" applyAlignment="1" applyProtection="1">
      <alignment vertical="top"/>
    </xf>
    <xf numFmtId="3" fontId="4" fillId="0" borderId="16" xfId="0" applyNumberFormat="1" applyFont="1" applyBorder="1" applyAlignment="1" applyProtection="1">
      <alignment vertical="top"/>
    </xf>
    <xf numFmtId="0" fontId="3" fillId="5" borderId="25" xfId="0" applyFont="1" applyFill="1" applyBorder="1" applyAlignment="1" applyProtection="1">
      <alignment horizontal="right" indent="1"/>
      <protection locked="0"/>
    </xf>
    <xf numFmtId="0" fontId="3" fillId="5" borderId="27" xfId="0" applyFont="1" applyFill="1" applyBorder="1" applyAlignment="1" applyProtection="1">
      <alignment horizontal="right" indent="1"/>
      <protection locked="0"/>
    </xf>
    <xf numFmtId="0" fontId="3" fillId="5" borderId="44" xfId="0" applyFont="1" applyFill="1" applyBorder="1" applyAlignment="1" applyProtection="1">
      <alignment horizontal="right" wrapText="1"/>
      <protection locked="0"/>
    </xf>
    <xf numFmtId="0" fontId="3" fillId="5" borderId="12" xfId="0" applyFont="1" applyFill="1" applyBorder="1" applyProtection="1">
      <protection locked="0"/>
    </xf>
    <xf numFmtId="3" fontId="3" fillId="0" borderId="62" xfId="0" applyNumberFormat="1" applyFont="1" applyBorder="1" applyProtection="1"/>
    <xf numFmtId="0" fontId="4" fillId="0" borderId="27" xfId="0" applyFont="1" applyBorder="1" applyProtection="1"/>
    <xf numFmtId="0" fontId="4" fillId="0" borderId="62" xfId="0" applyFont="1" applyBorder="1" applyProtection="1"/>
    <xf numFmtId="3" fontId="3" fillId="0" borderId="63" xfId="0" applyNumberFormat="1" applyFont="1" applyBorder="1" applyProtection="1"/>
    <xf numFmtId="3" fontId="4" fillId="5" borderId="14" xfId="0" applyNumberFormat="1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165" fontId="3" fillId="5" borderId="0" xfId="1" applyNumberFormat="1" applyFont="1" applyFill="1" applyBorder="1" applyProtection="1">
      <protection locked="0"/>
    </xf>
    <xf numFmtId="3" fontId="3" fillId="0" borderId="0" xfId="0" applyNumberFormat="1" applyFont="1" applyFill="1" applyBorder="1" applyProtection="1"/>
    <xf numFmtId="0" fontId="4" fillId="0" borderId="32" xfId="0" applyFont="1" applyBorder="1" applyAlignment="1" applyProtection="1">
      <alignment vertical="top"/>
    </xf>
    <xf numFmtId="165" fontId="3" fillId="5" borderId="31" xfId="1" applyNumberFormat="1" applyFont="1" applyFill="1" applyBorder="1" applyProtection="1">
      <protection locked="0"/>
    </xf>
    <xf numFmtId="165" fontId="3" fillId="5" borderId="44" xfId="1" applyNumberFormat="1" applyFont="1" applyFill="1" applyBorder="1" applyProtection="1">
      <protection locked="0"/>
    </xf>
    <xf numFmtId="0" fontId="4" fillId="0" borderId="23" xfId="0" applyFont="1" applyBorder="1" applyAlignment="1" applyProtection="1">
      <alignment vertical="top"/>
    </xf>
    <xf numFmtId="10" fontId="4" fillId="3" borderId="16" xfId="0" applyNumberFormat="1" applyFont="1" applyFill="1" applyBorder="1" applyProtection="1"/>
    <xf numFmtId="10" fontId="4" fillId="3" borderId="16" xfId="2" applyNumberFormat="1" applyFont="1" applyFill="1" applyBorder="1" applyProtection="1"/>
    <xf numFmtId="3" fontId="4" fillId="3" borderId="16" xfId="0" applyNumberFormat="1" applyFont="1" applyFill="1" applyBorder="1" applyProtection="1"/>
    <xf numFmtId="0" fontId="3" fillId="3" borderId="47" xfId="0" applyFont="1" applyFill="1" applyBorder="1" applyAlignment="1" applyProtection="1">
      <alignment horizontal="left" vertical="top" wrapText="1"/>
    </xf>
    <xf numFmtId="0" fontId="3" fillId="0" borderId="64" xfId="0" applyFont="1" applyBorder="1" applyAlignment="1" applyProtection="1">
      <alignment horizontal="left" vertical="top"/>
    </xf>
    <xf numFmtId="0" fontId="4" fillId="0" borderId="23" xfId="0" applyFont="1" applyBorder="1" applyAlignment="1" applyProtection="1">
      <alignment horizontal="left" vertical="top"/>
    </xf>
    <xf numFmtId="10" fontId="9" fillId="0" borderId="16" xfId="0" applyNumberFormat="1" applyFont="1" applyBorder="1" applyAlignment="1" applyProtection="1">
      <alignment horizontal="left" vertical="top" indent="1"/>
    </xf>
    <xf numFmtId="0" fontId="3" fillId="0" borderId="16" xfId="0" applyFont="1" applyBorder="1" applyAlignment="1" applyProtection="1">
      <alignment horizontal="left" indent="1"/>
    </xf>
    <xf numFmtId="165" fontId="3" fillId="0" borderId="16" xfId="1" applyNumberFormat="1" applyFont="1" applyBorder="1" applyProtection="1"/>
    <xf numFmtId="0" fontId="3" fillId="0" borderId="32" xfId="0" applyFont="1" applyBorder="1" applyAlignment="1" applyProtection="1">
      <alignment horizontal="left" vertical="top"/>
    </xf>
    <xf numFmtId="0" fontId="3" fillId="0" borderId="44" xfId="0" applyFont="1" applyBorder="1" applyAlignment="1" applyProtection="1">
      <alignment horizontal="left" vertical="top"/>
    </xf>
    <xf numFmtId="9" fontId="10" fillId="0" borderId="13" xfId="0" applyNumberFormat="1" applyFont="1" applyBorder="1" applyAlignment="1" applyProtection="1">
      <alignment horizontal="left" vertical="top" indent="1"/>
    </xf>
    <xf numFmtId="9" fontId="10" fillId="0" borderId="15" xfId="0" applyNumberFormat="1" applyFont="1" applyBorder="1" applyAlignment="1" applyProtection="1">
      <alignment horizontal="left" vertical="top" indent="1"/>
    </xf>
    <xf numFmtId="165" fontId="3" fillId="0" borderId="13" xfId="1" applyNumberFormat="1" applyFont="1" applyBorder="1" applyProtection="1"/>
    <xf numFmtId="3" fontId="3" fillId="0" borderId="33" xfId="0" applyNumberFormat="1" applyFont="1" applyBorder="1" applyAlignment="1" applyProtection="1">
      <alignment vertical="top"/>
    </xf>
    <xf numFmtId="0" fontId="4" fillId="4" borderId="20" xfId="0" applyFont="1" applyFill="1" applyBorder="1" applyAlignment="1" applyProtection="1">
      <alignment vertical="top"/>
    </xf>
    <xf numFmtId="0" fontId="11" fillId="4" borderId="57" xfId="0" applyFont="1" applyFill="1" applyBorder="1" applyAlignment="1" applyProtection="1">
      <alignment horizontal="left" vertical="top"/>
    </xf>
    <xf numFmtId="0" fontId="4" fillId="4" borderId="57" xfId="0" applyFont="1" applyFill="1" applyBorder="1" applyAlignment="1" applyProtection="1">
      <alignment horizontal="left"/>
    </xf>
    <xf numFmtId="3" fontId="4" fillId="4" borderId="57" xfId="0" applyNumberFormat="1" applyFont="1" applyFill="1" applyBorder="1" applyProtection="1"/>
    <xf numFmtId="3" fontId="4" fillId="4" borderId="21" xfId="0" applyNumberFormat="1" applyFont="1" applyFill="1" applyBorder="1" applyAlignment="1" applyProtection="1">
      <alignment vertical="top"/>
    </xf>
    <xf numFmtId="0" fontId="3" fillId="0" borderId="55" xfId="0" applyFont="1" applyBorder="1" applyAlignment="1" applyProtection="1">
      <alignment horizontal="left" vertical="top"/>
    </xf>
    <xf numFmtId="9" fontId="10" fillId="0" borderId="49" xfId="0" applyNumberFormat="1" applyFont="1" applyBorder="1" applyAlignment="1" applyProtection="1">
      <alignment horizontal="left" vertical="top" indent="1"/>
    </xf>
    <xf numFmtId="0" fontId="3" fillId="0" borderId="49" xfId="0" applyFont="1" applyBorder="1" applyAlignment="1" applyProtection="1">
      <alignment horizontal="left" indent="1"/>
    </xf>
    <xf numFmtId="3" fontId="3" fillId="0" borderId="49" xfId="0" applyNumberFormat="1" applyFont="1" applyBorder="1" applyProtection="1"/>
    <xf numFmtId="3" fontId="3" fillId="0" borderId="18" xfId="0" applyNumberFormat="1" applyFont="1" applyBorder="1" applyAlignment="1" applyProtection="1">
      <alignment vertical="top"/>
    </xf>
    <xf numFmtId="3" fontId="3" fillId="0" borderId="49" xfId="0" applyNumberFormat="1" applyFont="1" applyBorder="1" applyAlignment="1" applyProtection="1">
      <alignment vertical="top"/>
    </xf>
    <xf numFmtId="0" fontId="3" fillId="3" borderId="44" xfId="0" applyFont="1" applyFill="1" applyBorder="1" applyAlignment="1" applyProtection="1">
      <alignment vertical="top"/>
    </xf>
    <xf numFmtId="0" fontId="3" fillId="3" borderId="13" xfId="0" applyFont="1" applyFill="1" applyBorder="1" applyProtection="1"/>
    <xf numFmtId="3" fontId="3" fillId="3" borderId="13" xfId="0" applyNumberFormat="1" applyFont="1" applyFill="1" applyBorder="1" applyProtection="1"/>
    <xf numFmtId="3" fontId="3" fillId="3" borderId="12" xfId="0" applyNumberFormat="1" applyFont="1" applyFill="1" applyBorder="1" applyAlignment="1" applyProtection="1">
      <alignment vertical="top"/>
    </xf>
    <xf numFmtId="165" fontId="18" fillId="0" borderId="2" xfId="1" applyNumberFormat="1" applyFont="1" applyBorder="1"/>
    <xf numFmtId="0" fontId="18" fillId="0" borderId="0" xfId="0" applyFont="1" applyAlignment="1">
      <alignment horizontal="center"/>
    </xf>
    <xf numFmtId="165" fontId="18" fillId="0" borderId="43" xfId="1" applyNumberFormat="1" applyFont="1" applyBorder="1"/>
    <xf numFmtId="165" fontId="18" fillId="0" borderId="0" xfId="0" applyNumberFormat="1" applyFont="1"/>
    <xf numFmtId="165" fontId="18" fillId="0" borderId="12" xfId="1" applyNumberFormat="1" applyFont="1" applyBorder="1"/>
    <xf numFmtId="165" fontId="18" fillId="0" borderId="45" xfId="1" applyNumberFormat="1" applyFont="1" applyBorder="1"/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0" fontId="3" fillId="0" borderId="14" xfId="2" applyNumberFormat="1" applyFont="1" applyFill="1" applyBorder="1" applyProtection="1"/>
    <xf numFmtId="0" fontId="7" fillId="0" borderId="0" xfId="0" applyFont="1" applyAlignment="1">
      <alignment wrapText="1"/>
    </xf>
    <xf numFmtId="0" fontId="20" fillId="0" borderId="2" xfId="0" applyFont="1" applyBorder="1" applyAlignment="1" applyProtection="1">
      <alignment horizontal="left" vertical="top"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vertical="top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/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 wrapText="1"/>
    </xf>
    <xf numFmtId="4" fontId="3" fillId="6" borderId="2" xfId="0" applyNumberFormat="1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vertical="center"/>
    </xf>
    <xf numFmtId="165" fontId="3" fillId="5" borderId="31" xfId="5" applyNumberFormat="1" applyFont="1" applyFill="1" applyBorder="1" applyAlignment="1" applyProtection="1">
      <alignment horizontal="center" vertical="center"/>
    </xf>
    <xf numFmtId="165" fontId="3" fillId="5" borderId="2" xfId="5" applyNumberFormat="1" applyFont="1" applyFill="1" applyBorder="1" applyAlignment="1" applyProtection="1">
      <alignment horizontal="center" vertical="center"/>
    </xf>
    <xf numFmtId="165" fontId="3" fillId="5" borderId="44" xfId="5" applyNumberFormat="1" applyFont="1" applyFill="1" applyBorder="1" applyAlignment="1" applyProtection="1">
      <alignment horizontal="center" vertical="center"/>
    </xf>
    <xf numFmtId="165" fontId="3" fillId="5" borderId="12" xfId="5" applyNumberFormat="1" applyFont="1" applyFill="1" applyBorder="1" applyAlignment="1" applyProtection="1">
      <alignment horizontal="center" vertical="center"/>
    </xf>
    <xf numFmtId="0" fontId="21" fillId="0" borderId="0" xfId="0" applyFont="1" applyAlignment="1"/>
    <xf numFmtId="0" fontId="4" fillId="0" borderId="2" xfId="0" applyFont="1" applyBorder="1" applyAlignment="1">
      <alignment horizontal="center" vertical="center"/>
    </xf>
    <xf numFmtId="1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7" fontId="4" fillId="0" borderId="6" xfId="0" applyNumberFormat="1" applyFont="1" applyBorder="1" applyAlignment="1">
      <alignment horizontal="center" vertical="center" wrapText="1"/>
    </xf>
    <xf numFmtId="17" fontId="4" fillId="0" borderId="7" xfId="0" applyNumberFormat="1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</xf>
    <xf numFmtId="0" fontId="3" fillId="0" borderId="26" xfId="0" applyFont="1" applyFill="1" applyBorder="1" applyAlignment="1" applyProtection="1">
      <alignment horizontal="center"/>
      <protection locked="0"/>
    </xf>
    <xf numFmtId="0" fontId="3" fillId="0" borderId="28" xfId="0" applyFont="1" applyFill="1" applyBorder="1" applyAlignment="1" applyProtection="1">
      <alignment horizontal="center"/>
      <protection locked="0"/>
    </xf>
    <xf numFmtId="165" fontId="3" fillId="5" borderId="2" xfId="1" applyNumberFormat="1" applyFont="1" applyFill="1" applyBorder="1" applyAlignment="1" applyProtection="1">
      <alignment horizontal="left" vertical="center"/>
      <protection locked="0"/>
    </xf>
    <xf numFmtId="165" fontId="9" fillId="0" borderId="11" xfId="1" applyNumberFormat="1" applyFont="1" applyFill="1" applyBorder="1" applyAlignment="1" applyProtection="1">
      <alignment horizontal="left" vertical="center"/>
    </xf>
    <xf numFmtId="165" fontId="9" fillId="0" borderId="1" xfId="1" applyNumberFormat="1" applyFont="1" applyFill="1" applyBorder="1" applyAlignment="1" applyProtection="1">
      <alignment horizontal="left" vertical="center"/>
    </xf>
    <xf numFmtId="165" fontId="9" fillId="0" borderId="9" xfId="1" applyNumberFormat="1" applyFont="1" applyFill="1" applyBorder="1" applyAlignment="1" applyProtection="1">
      <alignment horizontal="left" vertical="center"/>
    </xf>
    <xf numFmtId="0" fontId="4" fillId="2" borderId="41" xfId="0" applyFont="1" applyFill="1" applyBorder="1" applyAlignment="1" applyProtection="1">
      <alignment horizontal="center" vertical="center" wrapText="1"/>
    </xf>
    <xf numFmtId="0" fontId="4" fillId="2" borderId="4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3" borderId="40" xfId="0" applyFont="1" applyFill="1" applyBorder="1" applyAlignment="1" applyProtection="1">
      <alignment horizontal="right" vertical="center"/>
    </xf>
    <xf numFmtId="0" fontId="4" fillId="3" borderId="51" xfId="0" applyFont="1" applyFill="1" applyBorder="1" applyAlignment="1" applyProtection="1">
      <alignment horizontal="right" vertical="center"/>
    </xf>
    <xf numFmtId="0" fontId="4" fillId="3" borderId="46" xfId="0" applyFont="1" applyFill="1" applyBorder="1" applyAlignment="1" applyProtection="1">
      <alignment horizontal="right" vertical="center"/>
    </xf>
    <xf numFmtId="0" fontId="4" fillId="0" borderId="4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54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30" xfId="0" applyFont="1" applyFill="1" applyBorder="1" applyAlignment="1" applyProtection="1">
      <alignment horizontal="center" vertical="center" wrapText="1"/>
    </xf>
    <xf numFmtId="0" fontId="11" fillId="2" borderId="56" xfId="0" applyFont="1" applyFill="1" applyBorder="1" applyAlignment="1" applyProtection="1">
      <alignment horizontal="center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48" xfId="0" applyFont="1" applyFill="1" applyBorder="1" applyAlignment="1" applyProtection="1">
      <alignment horizontal="center" vertical="center" wrapText="1"/>
    </xf>
    <xf numFmtId="0" fontId="11" fillId="2" borderId="43" xfId="0" applyFont="1" applyFill="1" applyBorder="1" applyAlignment="1" applyProtection="1">
      <alignment horizontal="center" vertical="center" wrapText="1"/>
    </xf>
    <xf numFmtId="0" fontId="4" fillId="0" borderId="55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48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5" fontId="4" fillId="3" borderId="55" xfId="1" applyNumberFormat="1" applyFont="1" applyFill="1" applyBorder="1" applyAlignment="1" applyProtection="1">
      <alignment horizontal="center" vertical="center"/>
    </xf>
    <xf numFmtId="165" fontId="4" fillId="3" borderId="31" xfId="1" applyNumberFormat="1" applyFont="1" applyFill="1" applyBorder="1" applyAlignment="1" applyProtection="1">
      <alignment horizontal="center" vertical="center"/>
    </xf>
    <xf numFmtId="165" fontId="4" fillId="3" borderId="18" xfId="1" applyNumberFormat="1" applyFont="1" applyFill="1" applyBorder="1" applyAlignment="1" applyProtection="1">
      <alignment horizontal="center" vertical="center"/>
    </xf>
    <xf numFmtId="165" fontId="4" fillId="3" borderId="2" xfId="1" applyNumberFormat="1" applyFont="1" applyFill="1" applyBorder="1" applyAlignment="1" applyProtection="1">
      <alignment horizontal="center" vertical="center"/>
    </xf>
    <xf numFmtId="165" fontId="4" fillId="3" borderId="18" xfId="1" applyNumberFormat="1" applyFont="1" applyFill="1" applyBorder="1" applyAlignment="1" applyProtection="1">
      <alignment horizontal="center" vertical="center" wrapText="1"/>
    </xf>
    <xf numFmtId="0" fontId="18" fillId="0" borderId="55" xfId="0" applyFont="1" applyBorder="1" applyAlignment="1">
      <alignment horizontal="left" wrapText="1"/>
    </xf>
    <xf numFmtId="0" fontId="18" fillId="0" borderId="18" xfId="0" applyFont="1" applyBorder="1" applyAlignment="1">
      <alignment horizontal="left" wrapText="1"/>
    </xf>
    <xf numFmtId="0" fontId="18" fillId="0" borderId="18" xfId="0" applyFont="1" applyBorder="1" applyAlignment="1">
      <alignment horizontal="left"/>
    </xf>
    <xf numFmtId="0" fontId="18" fillId="0" borderId="48" xfId="0" applyFont="1" applyBorder="1" applyAlignment="1">
      <alignment horizontal="left"/>
    </xf>
    <xf numFmtId="0" fontId="18" fillId="0" borderId="44" xfId="0" applyFont="1" applyBorder="1" applyAlignment="1">
      <alignment horizontal="left" wrapText="1"/>
    </xf>
    <xf numFmtId="0" fontId="18" fillId="0" borderId="12" xfId="0" applyFont="1" applyBorder="1" applyAlignment="1">
      <alignment horizontal="left" wrapText="1"/>
    </xf>
    <xf numFmtId="0" fontId="18" fillId="0" borderId="12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0" fontId="16" fillId="0" borderId="24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0" xfId="0" applyFont="1" applyAlignment="1">
      <alignment horizontal="left" wrapText="1"/>
    </xf>
    <xf numFmtId="0" fontId="17" fillId="0" borderId="55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</cellXfs>
  <cellStyles count="6">
    <cellStyle name="Обычный" xfId="0" builtinId="0"/>
    <cellStyle name="Обычный 5" xfId="3" xr:uid="{00000000-0005-0000-0000-000001000000}"/>
    <cellStyle name="Процентный" xfId="2" builtinId="5"/>
    <cellStyle name="Процентный 3" xfId="4" xr:uid="{00000000-0005-0000-0000-000003000000}"/>
    <cellStyle name="Финансовый" xfId="1" builtinId="3"/>
    <cellStyle name="Финансовый 2" xfId="5" xr:uid="{00000000-0005-0000-0000-000005000000}"/>
  </cellStyles>
  <dxfs count="77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L22"/>
  <sheetViews>
    <sheetView workbookViewId="0">
      <selection activeCell="D15" sqref="D15"/>
    </sheetView>
  </sheetViews>
  <sheetFormatPr defaultRowHeight="15" x14ac:dyDescent="0.25"/>
  <cols>
    <col min="12" max="12" width="10.7109375" customWidth="1"/>
  </cols>
  <sheetData>
    <row r="5" spans="2:12" ht="23.25" x14ac:dyDescent="0.25">
      <c r="F5" s="340" t="s">
        <v>345</v>
      </c>
    </row>
    <row r="6" spans="2:12" ht="23.25" x14ac:dyDescent="0.25">
      <c r="F6" s="340"/>
    </row>
    <row r="7" spans="2:12" ht="23.25" x14ac:dyDescent="0.35">
      <c r="F7" s="340" t="s">
        <v>346</v>
      </c>
      <c r="H7" s="342">
        <v>2022</v>
      </c>
    </row>
    <row r="8" spans="2:12" ht="23.25" x14ac:dyDescent="0.25">
      <c r="F8" s="340"/>
    </row>
    <row r="9" spans="2:12" ht="23.25" x14ac:dyDescent="0.35">
      <c r="B9" s="352" t="s">
        <v>349</v>
      </c>
      <c r="C9" s="352"/>
      <c r="D9" s="352"/>
      <c r="E9" s="352"/>
      <c r="F9" s="352"/>
      <c r="G9" s="352"/>
      <c r="H9" s="352"/>
      <c r="I9" s="352"/>
      <c r="J9" s="352"/>
      <c r="K9" s="352"/>
      <c r="L9" s="352"/>
    </row>
    <row r="10" spans="2:12" ht="23.25" x14ac:dyDescent="0.25">
      <c r="F10" s="340" t="s">
        <v>347</v>
      </c>
    </row>
    <row r="11" spans="2:12" ht="23.25" x14ac:dyDescent="0.25">
      <c r="F11" s="340"/>
    </row>
    <row r="12" spans="2:12" ht="23.25" x14ac:dyDescent="0.25">
      <c r="F12" s="340"/>
    </row>
    <row r="13" spans="2:12" ht="23.25" x14ac:dyDescent="0.25">
      <c r="F13" s="340"/>
    </row>
    <row r="14" spans="2:12" ht="23.25" x14ac:dyDescent="0.25">
      <c r="F14" s="340"/>
    </row>
    <row r="15" spans="2:12" ht="23.25" x14ac:dyDescent="0.25">
      <c r="F15" s="340" t="s">
        <v>348</v>
      </c>
    </row>
    <row r="16" spans="2:12" x14ac:dyDescent="0.25">
      <c r="F16" s="341"/>
    </row>
    <row r="17" spans="6:6" x14ac:dyDescent="0.25">
      <c r="F17" s="341"/>
    </row>
    <row r="18" spans="6:6" x14ac:dyDescent="0.25">
      <c r="F18" s="341"/>
    </row>
    <row r="19" spans="6:6" x14ac:dyDescent="0.25">
      <c r="F19" s="341"/>
    </row>
    <row r="20" spans="6:6" x14ac:dyDescent="0.25">
      <c r="F20" s="341"/>
    </row>
    <row r="21" spans="6:6" x14ac:dyDescent="0.25">
      <c r="F21" s="341"/>
    </row>
    <row r="22" spans="6:6" x14ac:dyDescent="0.25">
      <c r="F22" s="341"/>
    </row>
  </sheetData>
  <sheetProtection algorithmName="SHA-512" hashValue="nkwGHKU8/kj7tmFPdOZGUWwtw8c5dQJrHCjyMgVjTbJxumsX+XQxG3b4vgMGU/lrliDBDK3DV7SIa2/acb1c/w==" saltValue="HdNSAHBgX2DsnctxQwP6yQ==" spinCount="100000" sheet="1" formatCells="0" formatColumns="0" formatRows="0" insertColumns="0" insertRows="0" insertHyperlinks="0" deleteColumns="0" deleteRows="0" sort="0" autoFilter="0" pivotTables="0"/>
  <mergeCells count="1">
    <mergeCell ref="B9:L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>
    <pageSetUpPr fitToPage="1"/>
  </sheetPr>
  <dimension ref="A1:B28"/>
  <sheetViews>
    <sheetView tabSelected="1" zoomScale="80" zoomScaleNormal="80" workbookViewId="0">
      <selection activeCell="B1" sqref="B1"/>
    </sheetView>
  </sheetViews>
  <sheetFormatPr defaultColWidth="8.85546875" defaultRowHeight="15.75" x14ac:dyDescent="0.25"/>
  <cols>
    <col min="1" max="1" width="4.140625" style="4" customWidth="1"/>
    <col min="2" max="2" width="118.42578125" style="1" customWidth="1"/>
    <col min="3" max="3" width="26.42578125" style="1" customWidth="1"/>
    <col min="4" max="16384" width="8.85546875" style="1"/>
  </cols>
  <sheetData>
    <row r="1" spans="1:2" x14ac:dyDescent="0.25">
      <c r="B1" s="2" t="s">
        <v>221</v>
      </c>
    </row>
    <row r="2" spans="1:2" ht="33" customHeight="1" x14ac:dyDescent="0.25">
      <c r="A2" s="5">
        <v>1</v>
      </c>
      <c r="B2" s="336" t="s">
        <v>332</v>
      </c>
    </row>
    <row r="3" spans="1:2" ht="32.450000000000003" customHeight="1" x14ac:dyDescent="0.25">
      <c r="A3" s="5">
        <v>2</v>
      </c>
      <c r="B3" s="3" t="s">
        <v>222</v>
      </c>
    </row>
    <row r="4" spans="1:2" ht="32.450000000000003" customHeight="1" x14ac:dyDescent="0.25">
      <c r="A4" s="5">
        <v>3</v>
      </c>
      <c r="B4" s="3" t="s">
        <v>223</v>
      </c>
    </row>
    <row r="5" spans="1:2" ht="20.25" customHeight="1" x14ac:dyDescent="0.25">
      <c r="A5" s="5">
        <v>5</v>
      </c>
      <c r="B5" s="3" t="s">
        <v>58</v>
      </c>
    </row>
    <row r="6" spans="1:2" ht="85.5" customHeight="1" x14ac:dyDescent="0.25">
      <c r="A6" s="5">
        <v>6</v>
      </c>
      <c r="B6" s="3" t="s">
        <v>336</v>
      </c>
    </row>
    <row r="7" spans="1:2" ht="48.75" customHeight="1" x14ac:dyDescent="0.25">
      <c r="A7" s="5">
        <v>7</v>
      </c>
      <c r="B7" s="197" t="s">
        <v>337</v>
      </c>
    </row>
    <row r="8" spans="1:2" ht="67.5" customHeight="1" x14ac:dyDescent="0.25">
      <c r="A8" s="5">
        <v>8</v>
      </c>
      <c r="B8" s="338" t="s">
        <v>338</v>
      </c>
    </row>
    <row r="9" spans="1:2" ht="78.75" x14ac:dyDescent="0.25">
      <c r="A9" s="5">
        <v>9</v>
      </c>
      <c r="B9" s="338" t="s">
        <v>339</v>
      </c>
    </row>
    <row r="10" spans="1:2" ht="51.75" customHeight="1" x14ac:dyDescent="0.25">
      <c r="A10" s="5">
        <v>10</v>
      </c>
      <c r="B10" s="338" t="s">
        <v>340</v>
      </c>
    </row>
    <row r="11" spans="1:2" x14ac:dyDescent="0.25">
      <c r="A11" s="5">
        <v>11</v>
      </c>
      <c r="B11" s="339" t="s">
        <v>334</v>
      </c>
    </row>
    <row r="12" spans="1:2" ht="47.25" x14ac:dyDescent="0.25">
      <c r="A12" s="5">
        <v>12</v>
      </c>
      <c r="B12" s="3" t="s">
        <v>341</v>
      </c>
    </row>
    <row r="13" spans="1:2" ht="63" x14ac:dyDescent="0.25">
      <c r="A13" s="5">
        <v>13</v>
      </c>
      <c r="B13" s="3" t="s">
        <v>342</v>
      </c>
    </row>
    <row r="14" spans="1:2" ht="47.25" x14ac:dyDescent="0.25">
      <c r="A14" s="5">
        <v>14</v>
      </c>
      <c r="B14" s="3" t="s">
        <v>343</v>
      </c>
    </row>
    <row r="15" spans="1:2" ht="31.5" x14ac:dyDescent="0.25">
      <c r="A15" s="5">
        <v>15</v>
      </c>
      <c r="B15" s="3" t="s">
        <v>344</v>
      </c>
    </row>
    <row r="16" spans="1:2" x14ac:dyDescent="0.25">
      <c r="A16" s="5"/>
      <c r="B16" s="3"/>
    </row>
    <row r="17" spans="1:2" x14ac:dyDescent="0.25">
      <c r="A17" s="5"/>
      <c r="B17" s="3"/>
    </row>
    <row r="18" spans="1:2" x14ac:dyDescent="0.25">
      <c r="A18" s="5"/>
      <c r="B18" s="6" t="s">
        <v>224</v>
      </c>
    </row>
    <row r="19" spans="1:2" ht="196.5" customHeight="1" x14ac:dyDescent="0.25">
      <c r="A19" s="5">
        <v>1</v>
      </c>
      <c r="B19" s="3" t="s">
        <v>351</v>
      </c>
    </row>
    <row r="20" spans="1:2" ht="356.25" customHeight="1" x14ac:dyDescent="0.25">
      <c r="A20" s="5">
        <v>2</v>
      </c>
      <c r="B20" s="3" t="s">
        <v>335</v>
      </c>
    </row>
    <row r="21" spans="1:2" ht="46.5" customHeight="1" x14ac:dyDescent="0.25">
      <c r="A21" s="5">
        <v>3</v>
      </c>
      <c r="B21" s="3" t="s">
        <v>226</v>
      </c>
    </row>
    <row r="22" spans="1:2" ht="51" customHeight="1" x14ac:dyDescent="0.25">
      <c r="A22" s="5">
        <v>4</v>
      </c>
      <c r="B22" s="3" t="s">
        <v>59</v>
      </c>
    </row>
    <row r="23" spans="1:2" ht="19.350000000000001" customHeight="1" x14ac:dyDescent="0.25">
      <c r="A23" s="5">
        <v>5</v>
      </c>
      <c r="B23" s="3" t="s">
        <v>37</v>
      </c>
    </row>
    <row r="24" spans="1:2" ht="31.35" customHeight="1" x14ac:dyDescent="0.25">
      <c r="A24" s="5">
        <v>6</v>
      </c>
      <c r="B24" s="3" t="s">
        <v>38</v>
      </c>
    </row>
    <row r="25" spans="1:2" ht="45.6" customHeight="1" x14ac:dyDescent="0.25">
      <c r="A25" s="5">
        <v>7</v>
      </c>
      <c r="B25" s="3" t="s">
        <v>39</v>
      </c>
    </row>
    <row r="26" spans="1:2" ht="46.35" customHeight="1" x14ac:dyDescent="0.25">
      <c r="A26" s="5">
        <v>8</v>
      </c>
      <c r="B26" s="3" t="s">
        <v>40</v>
      </c>
    </row>
    <row r="27" spans="1:2" ht="31.5" x14ac:dyDescent="0.25">
      <c r="A27" s="4">
        <v>9</v>
      </c>
      <c r="B27" s="3" t="s">
        <v>286</v>
      </c>
    </row>
    <row r="28" spans="1:2" ht="47.25" x14ac:dyDescent="0.25">
      <c r="A28" s="4">
        <v>10</v>
      </c>
      <c r="B28" s="197" t="s">
        <v>333</v>
      </c>
    </row>
  </sheetData>
  <sheetProtection algorithmName="SHA-512" hashValue="LgvE7q1JT+1wD5LG/Z+auxvdkEMNcQaYeUbxxm1XdBkwrbWLjiIVLionBEYnUJRjbaePT+ZEdzKyl/0zl1ENww==" saltValue="AY5BNg9HNAT5pbP3V0M0CQ==" spinCount="100000" sheet="1" formatCells="0" formatColumns="0" formatRows="0" insertColumns="0" insertRows="0" insertHyperlinks="0" deleteColumns="0" deleteRows="0" sort="0" autoFilter="0" pivotTables="0"/>
  <pageMargins left="0.70866141732283472" right="0.70866141732283472" top="0.74803149606299213" bottom="0.74803149606299213" header="0.31496062992125984" footer="0.31496062992125984"/>
  <pageSetup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X177"/>
  <sheetViews>
    <sheetView topLeftCell="B1" workbookViewId="0">
      <pane xSplit="2" ySplit="4" topLeftCell="D77" activePane="bottomRight" state="frozen"/>
      <selection activeCell="B1" sqref="B1"/>
      <selection pane="topRight" activeCell="D1" sqref="D1"/>
      <selection pane="bottomLeft" activeCell="B3" sqref="B3"/>
      <selection pane="bottomRight" activeCell="O60" sqref="O60"/>
    </sheetView>
  </sheetViews>
  <sheetFormatPr defaultColWidth="8.85546875" defaultRowHeight="15.75" x14ac:dyDescent="0.25"/>
  <cols>
    <col min="1" max="1" width="4.7109375" style="4" hidden="1" customWidth="1"/>
    <col min="2" max="2" width="10.85546875" style="4" customWidth="1"/>
    <col min="3" max="3" width="44.7109375" style="1" customWidth="1"/>
    <col min="4" max="4" width="17.42578125" style="1" bestFit="1" customWidth="1"/>
    <col min="5" max="6" width="17.7109375" style="1" customWidth="1"/>
    <col min="7" max="8" width="18.42578125" style="1" customWidth="1"/>
    <col min="9" max="10" width="20.7109375" style="1" hidden="1" customWidth="1"/>
    <col min="11" max="12" width="8.85546875" style="1" customWidth="1"/>
    <col min="13" max="13" width="46.42578125" style="1" hidden="1" customWidth="1"/>
    <col min="14" max="15" width="14.28515625" style="1" bestFit="1" customWidth="1"/>
    <col min="16" max="16" width="23.42578125" style="1" customWidth="1"/>
    <col min="17" max="17" width="8.85546875" style="1"/>
    <col min="18" max="19" width="19.7109375" style="1" customWidth="1"/>
    <col min="20" max="21" width="19.7109375" style="1" hidden="1" customWidth="1"/>
    <col min="22" max="22" width="8.85546875" style="1" customWidth="1"/>
    <col min="23" max="23" width="46.42578125" style="1" hidden="1" customWidth="1"/>
    <col min="24" max="24" width="8.85546875" style="1" hidden="1" customWidth="1"/>
    <col min="25" max="16384" width="8.85546875" style="1"/>
  </cols>
  <sheetData>
    <row r="1" spans="1:24" ht="15.75" customHeight="1" x14ac:dyDescent="0.25">
      <c r="B1" s="355" t="s">
        <v>156</v>
      </c>
      <c r="C1" s="355" t="s">
        <v>350</v>
      </c>
      <c r="D1" s="355"/>
      <c r="E1" s="353" t="s">
        <v>266</v>
      </c>
      <c r="F1" s="353"/>
      <c r="G1" s="360" t="s">
        <v>254</v>
      </c>
      <c r="H1" s="361"/>
      <c r="I1" s="361"/>
      <c r="J1" s="362"/>
      <c r="N1" s="356" t="s">
        <v>352</v>
      </c>
      <c r="O1" s="356"/>
      <c r="P1" s="356"/>
      <c r="R1" s="366" t="s">
        <v>255</v>
      </c>
      <c r="S1" s="367"/>
      <c r="T1" s="367"/>
      <c r="U1" s="368"/>
    </row>
    <row r="2" spans="1:24" x14ac:dyDescent="0.25">
      <c r="B2" s="355"/>
      <c r="C2" s="355"/>
      <c r="D2" s="355"/>
      <c r="E2" s="353"/>
      <c r="F2" s="353"/>
      <c r="G2" s="363"/>
      <c r="H2" s="364"/>
      <c r="I2" s="364"/>
      <c r="J2" s="365"/>
      <c r="N2" s="357" t="s">
        <v>267</v>
      </c>
      <c r="O2" s="357" t="s">
        <v>268</v>
      </c>
      <c r="P2" s="357" t="s">
        <v>269</v>
      </c>
      <c r="R2" s="369"/>
      <c r="S2" s="370"/>
      <c r="T2" s="370"/>
      <c r="U2" s="371"/>
    </row>
    <row r="3" spans="1:24" ht="40.5" customHeight="1" x14ac:dyDescent="0.25">
      <c r="A3" s="353" t="s">
        <v>155</v>
      </c>
      <c r="B3" s="355"/>
      <c r="C3" s="355"/>
      <c r="D3" s="355"/>
      <c r="E3" s="354" t="s">
        <v>270</v>
      </c>
      <c r="F3" s="354" t="s">
        <v>271</v>
      </c>
      <c r="G3" s="354" t="s">
        <v>292</v>
      </c>
      <c r="H3" s="354" t="s">
        <v>290</v>
      </c>
      <c r="I3" s="354" t="s">
        <v>292</v>
      </c>
      <c r="J3" s="354" t="s">
        <v>290</v>
      </c>
      <c r="N3" s="358"/>
      <c r="O3" s="358"/>
      <c r="P3" s="358"/>
      <c r="R3" s="354" t="s">
        <v>292</v>
      </c>
      <c r="S3" s="354" t="s">
        <v>290</v>
      </c>
      <c r="T3" s="354" t="s">
        <v>292</v>
      </c>
      <c r="U3" s="354" t="s">
        <v>290</v>
      </c>
    </row>
    <row r="4" spans="1:24" x14ac:dyDescent="0.25">
      <c r="A4" s="353"/>
      <c r="B4" s="355"/>
      <c r="C4" s="181" t="s">
        <v>133</v>
      </c>
      <c r="D4" s="180" t="s">
        <v>157</v>
      </c>
      <c r="E4" s="354"/>
      <c r="F4" s="354"/>
      <c r="G4" s="354"/>
      <c r="H4" s="354"/>
      <c r="I4" s="354"/>
      <c r="J4" s="354"/>
      <c r="N4" s="359"/>
      <c r="O4" s="359"/>
      <c r="P4" s="359"/>
      <c r="R4" s="354"/>
      <c r="S4" s="354"/>
      <c r="T4" s="354"/>
      <c r="U4" s="354"/>
    </row>
    <row r="5" spans="1:24" x14ac:dyDescent="0.25">
      <c r="A5" s="7">
        <v>1</v>
      </c>
      <c r="B5" s="8" t="s">
        <v>158</v>
      </c>
      <c r="C5" s="9" t="s">
        <v>151</v>
      </c>
      <c r="D5" s="10">
        <v>18299.3</v>
      </c>
      <c r="E5" s="11">
        <f t="shared" ref="E5:E36" si="0">D5*0.8</f>
        <v>14639.44</v>
      </c>
      <c r="F5" s="11">
        <f>E5/246</f>
        <v>59.509918699186997</v>
      </c>
      <c r="G5" s="11">
        <f>F5*1.305</f>
        <v>77.660443902439027</v>
      </c>
      <c r="H5" s="11">
        <f>F5*1.243</f>
        <v>73.970828943089444</v>
      </c>
      <c r="I5" s="11">
        <f>IF(F5&gt;$O$5,$O$5*1.305+(F5-$O$5)*1.155,F5*1.305)</f>
        <v>77.660443902439027</v>
      </c>
      <c r="J5" s="11">
        <f>IF(F5&gt;$O$5,$O$5*1.243+(F5-$O$5)*1.105,F5*1.243)</f>
        <v>73.970828943089444</v>
      </c>
      <c r="M5" s="1" t="str">
        <f t="shared" ref="M5:M36" si="1">CONCATENATE(B5," ",C5)</f>
        <v xml:space="preserve">01 Республика Адыгея </v>
      </c>
      <c r="N5" s="343">
        <v>15279</v>
      </c>
      <c r="O5" s="12">
        <f>N5/164</f>
        <v>93.16463414634147</v>
      </c>
      <c r="P5" s="11">
        <f t="shared" ref="P5:P68" si="2">((O5/29.3*28*100%/12)+O5)*1.305+O5*164*24/730*3/12/164</f>
        <v>132.02771093444429</v>
      </c>
      <c r="R5" s="11">
        <f t="shared" ref="R5:R36" si="3">IF(P5&gt;G5,P5,G5)</f>
        <v>132.02771093444429</v>
      </c>
      <c r="S5" s="11">
        <f t="shared" ref="S5:S36" si="4">IF(P5&gt;H5,P5,H5)</f>
        <v>132.02771093444429</v>
      </c>
      <c r="T5" s="11">
        <f>IF(P5&gt;I5,P5,I5)</f>
        <v>132.02771093444429</v>
      </c>
      <c r="U5" s="11">
        <f>IF(P5&gt;J5,P5,J5)</f>
        <v>132.02771093444429</v>
      </c>
      <c r="W5" s="1" t="s">
        <v>191</v>
      </c>
      <c r="X5" s="1" t="s">
        <v>245</v>
      </c>
    </row>
    <row r="6" spans="1:24" x14ac:dyDescent="0.25">
      <c r="A6" s="7">
        <v>2</v>
      </c>
      <c r="B6" s="8" t="s">
        <v>159</v>
      </c>
      <c r="C6" s="9" t="s">
        <v>100</v>
      </c>
      <c r="D6" s="10">
        <v>28921.4</v>
      </c>
      <c r="E6" s="11">
        <f t="shared" si="0"/>
        <v>23137.120000000003</v>
      </c>
      <c r="F6" s="11">
        <f t="shared" ref="F6:F69" si="5">E6/246</f>
        <v>94.053333333333342</v>
      </c>
      <c r="G6" s="11">
        <f t="shared" ref="G6:G69" si="6">F6*1.305</f>
        <v>122.73960000000001</v>
      </c>
      <c r="H6" s="11">
        <f t="shared" ref="H6:H69" si="7">F6*1.243</f>
        <v>116.90829333333335</v>
      </c>
      <c r="I6" s="11">
        <f t="shared" ref="I6:I69" si="8">IF(F6&gt;$O$5,$O$5*1.305+(F6-$O$5)*1.155,F6*1.305)</f>
        <v>122.60629512195122</v>
      </c>
      <c r="J6" s="11">
        <f>IF(F6&gt;$O$5,$O$5*1.243+(F6-$O$5)*1.105,F6*1.243)</f>
        <v>116.78565284552847</v>
      </c>
      <c r="M6" s="1" t="str">
        <f t="shared" si="1"/>
        <v>02 Республика Башкортостан</v>
      </c>
      <c r="N6" s="343">
        <v>15279</v>
      </c>
      <c r="O6" s="12">
        <f t="shared" ref="O6:O69" si="9">N6/164</f>
        <v>93.16463414634147</v>
      </c>
      <c r="P6" s="11">
        <f t="shared" si="2"/>
        <v>132.02771093444429</v>
      </c>
      <c r="R6" s="11">
        <f t="shared" si="3"/>
        <v>132.02771093444429</v>
      </c>
      <c r="S6" s="11">
        <f t="shared" si="4"/>
        <v>132.02771093444429</v>
      </c>
      <c r="T6" s="11">
        <f t="shared" ref="T6:T69" si="10">IF(P6&gt;I6,P6,I6)</f>
        <v>132.02771093444429</v>
      </c>
      <c r="U6" s="11">
        <f t="shared" ref="U6:U69" si="11">IF(P6&gt;J6,P6,J6)</f>
        <v>132.02771093444429</v>
      </c>
      <c r="W6" s="1" t="s">
        <v>192</v>
      </c>
      <c r="X6" s="1" t="s">
        <v>246</v>
      </c>
    </row>
    <row r="7" spans="1:24" x14ac:dyDescent="0.25">
      <c r="A7" s="7">
        <v>3</v>
      </c>
      <c r="B7" s="8" t="s">
        <v>160</v>
      </c>
      <c r="C7" s="9" t="s">
        <v>124</v>
      </c>
      <c r="D7" s="10">
        <v>33031.9</v>
      </c>
      <c r="E7" s="11">
        <f t="shared" si="0"/>
        <v>26425.520000000004</v>
      </c>
      <c r="F7" s="11">
        <f t="shared" si="5"/>
        <v>107.4208130081301</v>
      </c>
      <c r="G7" s="11">
        <f t="shared" si="6"/>
        <v>140.18416097560976</v>
      </c>
      <c r="H7" s="11">
        <f t="shared" si="7"/>
        <v>133.52407056910573</v>
      </c>
      <c r="I7" s="11">
        <f t="shared" si="8"/>
        <v>138.04573414634149</v>
      </c>
      <c r="J7" s="11">
        <f t="shared" ref="J7:J70" si="12">IF(F7&gt;$O$5,$O$5*1.243+(F7-$O$5)*1.105,F7*1.243)</f>
        <v>131.55671788617889</v>
      </c>
      <c r="M7" s="1" t="str">
        <f t="shared" si="1"/>
        <v>03 Республика Бурятия</v>
      </c>
      <c r="N7" s="343">
        <v>15279</v>
      </c>
      <c r="O7" s="12">
        <f t="shared" si="9"/>
        <v>93.16463414634147</v>
      </c>
      <c r="P7" s="11">
        <f t="shared" si="2"/>
        <v>132.02771093444429</v>
      </c>
      <c r="R7" s="11">
        <f t="shared" si="3"/>
        <v>140.18416097560976</v>
      </c>
      <c r="S7" s="11">
        <f t="shared" si="4"/>
        <v>133.52407056910573</v>
      </c>
      <c r="T7" s="11">
        <f t="shared" si="10"/>
        <v>138.04573414634149</v>
      </c>
      <c r="U7" s="11">
        <f t="shared" si="11"/>
        <v>132.02771093444429</v>
      </c>
      <c r="W7" s="1" t="s">
        <v>193</v>
      </c>
    </row>
    <row r="8" spans="1:24" x14ac:dyDescent="0.25">
      <c r="A8" s="7">
        <v>4</v>
      </c>
      <c r="B8" s="8" t="s">
        <v>161</v>
      </c>
      <c r="C8" s="9" t="s">
        <v>115</v>
      </c>
      <c r="D8" s="10">
        <v>19978.5</v>
      </c>
      <c r="E8" s="11">
        <f t="shared" si="0"/>
        <v>15982.800000000001</v>
      </c>
      <c r="F8" s="11">
        <f t="shared" si="5"/>
        <v>64.970731707317071</v>
      </c>
      <c r="G8" s="11">
        <f t="shared" si="6"/>
        <v>84.78680487804877</v>
      </c>
      <c r="H8" s="11">
        <f t="shared" si="7"/>
        <v>80.758619512195125</v>
      </c>
      <c r="I8" s="11">
        <f t="shared" si="8"/>
        <v>84.78680487804877</v>
      </c>
      <c r="J8" s="11">
        <f t="shared" si="12"/>
        <v>80.758619512195125</v>
      </c>
      <c r="M8" s="1" t="str">
        <f t="shared" si="1"/>
        <v>04 Республика Алтай</v>
      </c>
      <c r="N8" s="343">
        <v>15279</v>
      </c>
      <c r="O8" s="12">
        <f t="shared" si="9"/>
        <v>93.16463414634147</v>
      </c>
      <c r="P8" s="11">
        <f t="shared" si="2"/>
        <v>132.02771093444429</v>
      </c>
      <c r="R8" s="11">
        <f t="shared" si="3"/>
        <v>132.02771093444429</v>
      </c>
      <c r="S8" s="11">
        <f t="shared" si="4"/>
        <v>132.02771093444429</v>
      </c>
      <c r="T8" s="11">
        <f t="shared" si="10"/>
        <v>132.02771093444429</v>
      </c>
      <c r="U8" s="11">
        <f t="shared" si="11"/>
        <v>132.02771093444429</v>
      </c>
      <c r="W8" s="1" t="s">
        <v>194</v>
      </c>
    </row>
    <row r="9" spans="1:24" x14ac:dyDescent="0.25">
      <c r="A9" s="7">
        <v>5</v>
      </c>
      <c r="B9" s="8" t="s">
        <v>162</v>
      </c>
      <c r="C9" s="9" t="s">
        <v>139</v>
      </c>
      <c r="D9" s="10">
        <v>25298.2</v>
      </c>
      <c r="E9" s="11">
        <f t="shared" si="0"/>
        <v>20238.560000000001</v>
      </c>
      <c r="F9" s="11">
        <f t="shared" si="5"/>
        <v>82.270569105691067</v>
      </c>
      <c r="G9" s="11">
        <f t="shared" si="6"/>
        <v>107.36309268292683</v>
      </c>
      <c r="H9" s="11">
        <f t="shared" si="7"/>
        <v>102.26231739837401</v>
      </c>
      <c r="I9" s="11">
        <f t="shared" si="8"/>
        <v>107.36309268292683</v>
      </c>
      <c r="J9" s="11">
        <f t="shared" si="12"/>
        <v>102.26231739837401</v>
      </c>
      <c r="M9" s="1" t="str">
        <f t="shared" si="1"/>
        <v>05 Республика Дагестан</v>
      </c>
      <c r="N9" s="343">
        <v>15279</v>
      </c>
      <c r="O9" s="12">
        <f t="shared" si="9"/>
        <v>93.16463414634147</v>
      </c>
      <c r="P9" s="11">
        <f t="shared" si="2"/>
        <v>132.02771093444429</v>
      </c>
      <c r="R9" s="11">
        <f t="shared" si="3"/>
        <v>132.02771093444429</v>
      </c>
      <c r="S9" s="11">
        <f t="shared" si="4"/>
        <v>132.02771093444429</v>
      </c>
      <c r="T9" s="11">
        <f t="shared" si="10"/>
        <v>132.02771093444429</v>
      </c>
      <c r="U9" s="11">
        <f t="shared" si="11"/>
        <v>132.02771093444429</v>
      </c>
      <c r="W9" s="1" t="s">
        <v>195</v>
      </c>
    </row>
    <row r="10" spans="1:24" x14ac:dyDescent="0.25">
      <c r="A10" s="7">
        <v>6</v>
      </c>
      <c r="B10" s="8" t="s">
        <v>163</v>
      </c>
      <c r="C10" s="9" t="s">
        <v>140</v>
      </c>
      <c r="D10" s="10">
        <v>18164.400000000001</v>
      </c>
      <c r="E10" s="11">
        <f t="shared" si="0"/>
        <v>14531.520000000002</v>
      </c>
      <c r="F10" s="11">
        <f t="shared" si="5"/>
        <v>59.071219512195128</v>
      </c>
      <c r="G10" s="11">
        <f t="shared" si="6"/>
        <v>77.087941463414637</v>
      </c>
      <c r="H10" s="11">
        <f t="shared" si="7"/>
        <v>73.425525853658556</v>
      </c>
      <c r="I10" s="11">
        <f t="shared" si="8"/>
        <v>77.087941463414637</v>
      </c>
      <c r="J10" s="11">
        <f t="shared" si="12"/>
        <v>73.425525853658556</v>
      </c>
      <c r="M10" s="1" t="str">
        <f t="shared" si="1"/>
        <v>06 Республика Ингушетия</v>
      </c>
      <c r="N10" s="343">
        <v>15279</v>
      </c>
      <c r="O10" s="12">
        <f t="shared" si="9"/>
        <v>93.16463414634147</v>
      </c>
      <c r="P10" s="11">
        <f t="shared" si="2"/>
        <v>132.02771093444429</v>
      </c>
      <c r="R10" s="11">
        <f t="shared" si="3"/>
        <v>132.02771093444429</v>
      </c>
      <c r="S10" s="11">
        <f t="shared" si="4"/>
        <v>132.02771093444429</v>
      </c>
      <c r="T10" s="11">
        <f t="shared" si="10"/>
        <v>132.02771093444429</v>
      </c>
      <c r="U10" s="11">
        <f t="shared" si="11"/>
        <v>132.02771093444429</v>
      </c>
      <c r="W10" s="1" t="s">
        <v>196</v>
      </c>
    </row>
    <row r="11" spans="1:24" x14ac:dyDescent="0.25">
      <c r="A11" s="7">
        <v>7</v>
      </c>
      <c r="B11" s="8" t="s">
        <v>164</v>
      </c>
      <c r="C11" s="9" t="s">
        <v>141</v>
      </c>
      <c r="D11" s="10">
        <v>12338.7</v>
      </c>
      <c r="E11" s="11">
        <f t="shared" si="0"/>
        <v>9870.9600000000009</v>
      </c>
      <c r="F11" s="11">
        <f t="shared" si="5"/>
        <v>40.125853658536592</v>
      </c>
      <c r="G11" s="11">
        <f t="shared" si="6"/>
        <v>52.364239024390251</v>
      </c>
      <c r="H11" s="11">
        <f t="shared" si="7"/>
        <v>49.87643609756099</v>
      </c>
      <c r="I11" s="11">
        <f t="shared" si="8"/>
        <v>52.364239024390251</v>
      </c>
      <c r="J11" s="11">
        <f t="shared" si="12"/>
        <v>49.87643609756099</v>
      </c>
      <c r="M11" s="1" t="str">
        <f t="shared" si="1"/>
        <v>07 Кабардино-Балкарская Республика</v>
      </c>
      <c r="N11" s="343">
        <v>15279</v>
      </c>
      <c r="O11" s="12">
        <f t="shared" si="9"/>
        <v>93.16463414634147</v>
      </c>
      <c r="P11" s="11">
        <f t="shared" si="2"/>
        <v>132.02771093444429</v>
      </c>
      <c r="R11" s="11">
        <f t="shared" si="3"/>
        <v>132.02771093444429</v>
      </c>
      <c r="S11" s="11">
        <f t="shared" si="4"/>
        <v>132.02771093444429</v>
      </c>
      <c r="T11" s="11">
        <f t="shared" si="10"/>
        <v>132.02771093444429</v>
      </c>
      <c r="U11" s="11">
        <f t="shared" si="11"/>
        <v>132.02771093444429</v>
      </c>
      <c r="W11" s="1" t="s">
        <v>197</v>
      </c>
    </row>
    <row r="12" spans="1:24" x14ac:dyDescent="0.25">
      <c r="A12" s="7">
        <v>8</v>
      </c>
      <c r="B12" s="8" t="s">
        <v>165</v>
      </c>
      <c r="C12" s="9" t="s">
        <v>94</v>
      </c>
      <c r="D12" s="10">
        <v>16105.4</v>
      </c>
      <c r="E12" s="11">
        <f t="shared" si="0"/>
        <v>12884.32</v>
      </c>
      <c r="F12" s="11">
        <f t="shared" si="5"/>
        <v>52.375284552845528</v>
      </c>
      <c r="G12" s="11">
        <f t="shared" si="6"/>
        <v>68.349746341463415</v>
      </c>
      <c r="H12" s="11">
        <f t="shared" si="7"/>
        <v>65.102478699187003</v>
      </c>
      <c r="I12" s="11">
        <f t="shared" si="8"/>
        <v>68.349746341463415</v>
      </c>
      <c r="J12" s="11">
        <f t="shared" si="12"/>
        <v>65.102478699187003</v>
      </c>
      <c r="M12" s="1" t="str">
        <f t="shared" si="1"/>
        <v>08 Республика Калмыкия</v>
      </c>
      <c r="N12" s="343">
        <v>15279</v>
      </c>
      <c r="O12" s="12">
        <f t="shared" si="9"/>
        <v>93.16463414634147</v>
      </c>
      <c r="P12" s="11">
        <f t="shared" si="2"/>
        <v>132.02771093444429</v>
      </c>
      <c r="R12" s="11">
        <f t="shared" si="3"/>
        <v>132.02771093444429</v>
      </c>
      <c r="S12" s="11">
        <f t="shared" si="4"/>
        <v>132.02771093444429</v>
      </c>
      <c r="T12" s="11">
        <f t="shared" si="10"/>
        <v>132.02771093444429</v>
      </c>
      <c r="U12" s="11">
        <f t="shared" si="11"/>
        <v>132.02771093444429</v>
      </c>
      <c r="W12" s="1" t="s">
        <v>198</v>
      </c>
    </row>
    <row r="13" spans="1:24" x14ac:dyDescent="0.25">
      <c r="A13" s="7">
        <v>9</v>
      </c>
      <c r="B13" s="8" t="s">
        <v>166</v>
      </c>
      <c r="C13" s="9" t="s">
        <v>142</v>
      </c>
      <c r="D13" s="10">
        <v>13502.7</v>
      </c>
      <c r="E13" s="11">
        <f t="shared" si="0"/>
        <v>10802.160000000002</v>
      </c>
      <c r="F13" s="11">
        <f t="shared" si="5"/>
        <v>43.911219512195132</v>
      </c>
      <c r="G13" s="11">
        <f t="shared" si="6"/>
        <v>57.304141463414645</v>
      </c>
      <c r="H13" s="11">
        <f t="shared" si="7"/>
        <v>54.58164585365855</v>
      </c>
      <c r="I13" s="11">
        <f t="shared" si="8"/>
        <v>57.304141463414645</v>
      </c>
      <c r="J13" s="11">
        <f t="shared" si="12"/>
        <v>54.58164585365855</v>
      </c>
      <c r="M13" s="1" t="str">
        <f t="shared" si="1"/>
        <v>09 Карачаево-Черкесская Республика</v>
      </c>
      <c r="N13" s="343">
        <v>15279</v>
      </c>
      <c r="O13" s="12">
        <f t="shared" si="9"/>
        <v>93.16463414634147</v>
      </c>
      <c r="P13" s="11">
        <f t="shared" si="2"/>
        <v>132.02771093444429</v>
      </c>
      <c r="R13" s="11">
        <f t="shared" si="3"/>
        <v>132.02771093444429</v>
      </c>
      <c r="S13" s="11">
        <f t="shared" si="4"/>
        <v>132.02771093444429</v>
      </c>
      <c r="T13" s="11">
        <f t="shared" si="10"/>
        <v>132.02771093444429</v>
      </c>
      <c r="U13" s="11">
        <f t="shared" si="11"/>
        <v>132.02771093444429</v>
      </c>
      <c r="W13" s="1" t="s">
        <v>199</v>
      </c>
    </row>
    <row r="14" spans="1:24" x14ac:dyDescent="0.25">
      <c r="A14" s="7">
        <v>10</v>
      </c>
      <c r="B14" s="7">
        <v>10</v>
      </c>
      <c r="C14" s="9" t="s">
        <v>85</v>
      </c>
      <c r="D14" s="10">
        <v>21939</v>
      </c>
      <c r="E14" s="11">
        <f t="shared" si="0"/>
        <v>17551.2</v>
      </c>
      <c r="F14" s="11">
        <f t="shared" si="5"/>
        <v>71.346341463414632</v>
      </c>
      <c r="G14" s="11">
        <f t="shared" si="6"/>
        <v>93.106975609756091</v>
      </c>
      <c r="H14" s="11">
        <f t="shared" si="7"/>
        <v>88.683502439024394</v>
      </c>
      <c r="I14" s="11">
        <f t="shared" si="8"/>
        <v>93.106975609756091</v>
      </c>
      <c r="J14" s="11">
        <f t="shared" si="12"/>
        <v>88.683502439024394</v>
      </c>
      <c r="M14" s="1" t="str">
        <f t="shared" si="1"/>
        <v>10 Республика Карелия</v>
      </c>
      <c r="N14" s="343">
        <v>15279</v>
      </c>
      <c r="O14" s="12">
        <f t="shared" si="9"/>
        <v>93.16463414634147</v>
      </c>
      <c r="P14" s="11">
        <f t="shared" si="2"/>
        <v>132.02771093444429</v>
      </c>
      <c r="R14" s="11">
        <f t="shared" si="3"/>
        <v>132.02771093444429</v>
      </c>
      <c r="S14" s="11">
        <f t="shared" si="4"/>
        <v>132.02771093444429</v>
      </c>
      <c r="T14" s="11">
        <f t="shared" si="10"/>
        <v>132.02771093444429</v>
      </c>
      <c r="U14" s="11">
        <f t="shared" si="11"/>
        <v>132.02771093444429</v>
      </c>
      <c r="W14" s="1" t="s">
        <v>200</v>
      </c>
    </row>
    <row r="15" spans="1:24" x14ac:dyDescent="0.25">
      <c r="A15" s="7">
        <v>11</v>
      </c>
      <c r="B15" s="7">
        <v>11</v>
      </c>
      <c r="C15" s="9" t="s">
        <v>86</v>
      </c>
      <c r="D15" s="10">
        <v>32430.2</v>
      </c>
      <c r="E15" s="11">
        <f t="shared" si="0"/>
        <v>25944.160000000003</v>
      </c>
      <c r="F15" s="11">
        <f t="shared" si="5"/>
        <v>105.46406504065042</v>
      </c>
      <c r="G15" s="11">
        <f t="shared" si="6"/>
        <v>137.63060487804879</v>
      </c>
      <c r="H15" s="11">
        <f t="shared" si="7"/>
        <v>131.0918328455285</v>
      </c>
      <c r="I15" s="11">
        <f t="shared" si="8"/>
        <v>135.78569024390245</v>
      </c>
      <c r="J15" s="11">
        <f t="shared" si="12"/>
        <v>129.39451138211385</v>
      </c>
      <c r="M15" s="1" t="str">
        <f t="shared" si="1"/>
        <v>11 Республика Коми</v>
      </c>
      <c r="N15" s="343">
        <v>15279</v>
      </c>
      <c r="O15" s="12">
        <f t="shared" si="9"/>
        <v>93.16463414634147</v>
      </c>
      <c r="P15" s="11">
        <f t="shared" si="2"/>
        <v>132.02771093444429</v>
      </c>
      <c r="R15" s="11">
        <f t="shared" si="3"/>
        <v>137.63060487804879</v>
      </c>
      <c r="S15" s="11">
        <f t="shared" si="4"/>
        <v>132.02771093444429</v>
      </c>
      <c r="T15" s="11">
        <f t="shared" si="10"/>
        <v>135.78569024390245</v>
      </c>
      <c r="U15" s="11">
        <f t="shared" si="11"/>
        <v>132.02771093444429</v>
      </c>
      <c r="W15" s="1" t="s">
        <v>201</v>
      </c>
    </row>
    <row r="16" spans="1:24" x14ac:dyDescent="0.25">
      <c r="A16" s="7">
        <v>12</v>
      </c>
      <c r="B16" s="8" t="s">
        <v>167</v>
      </c>
      <c r="C16" s="9" t="s">
        <v>101</v>
      </c>
      <c r="D16" s="10">
        <v>28749.3</v>
      </c>
      <c r="E16" s="11">
        <f t="shared" si="0"/>
        <v>22999.440000000002</v>
      </c>
      <c r="F16" s="11">
        <f t="shared" si="5"/>
        <v>93.493658536585372</v>
      </c>
      <c r="G16" s="11">
        <f t="shared" si="6"/>
        <v>122.0092243902439</v>
      </c>
      <c r="H16" s="11">
        <f t="shared" si="7"/>
        <v>116.21261756097563</v>
      </c>
      <c r="I16" s="11">
        <f t="shared" si="8"/>
        <v>121.95987073170731</v>
      </c>
      <c r="J16" s="11">
        <f t="shared" si="12"/>
        <v>116.16721219512196</v>
      </c>
      <c r="M16" s="1" t="str">
        <f t="shared" si="1"/>
        <v>12 Республика Марий Эл</v>
      </c>
      <c r="N16" s="343">
        <v>15279</v>
      </c>
      <c r="O16" s="12">
        <f t="shared" si="9"/>
        <v>93.16463414634147</v>
      </c>
      <c r="P16" s="11">
        <f t="shared" si="2"/>
        <v>132.02771093444429</v>
      </c>
      <c r="R16" s="11">
        <f t="shared" si="3"/>
        <v>132.02771093444429</v>
      </c>
      <c r="S16" s="11">
        <f t="shared" si="4"/>
        <v>132.02771093444429</v>
      </c>
      <c r="T16" s="11">
        <f t="shared" si="10"/>
        <v>132.02771093444429</v>
      </c>
      <c r="U16" s="11">
        <f t="shared" si="11"/>
        <v>132.02771093444429</v>
      </c>
      <c r="W16" s="1" t="s">
        <v>202</v>
      </c>
    </row>
    <row r="17" spans="1:23" x14ac:dyDescent="0.25">
      <c r="A17" s="7">
        <v>13</v>
      </c>
      <c r="B17" s="8" t="s">
        <v>168</v>
      </c>
      <c r="C17" s="9" t="s">
        <v>102</v>
      </c>
      <c r="D17" s="10">
        <v>24654.799999999999</v>
      </c>
      <c r="E17" s="11">
        <f t="shared" si="0"/>
        <v>19723.84</v>
      </c>
      <c r="F17" s="11">
        <f t="shared" si="5"/>
        <v>80.178211382113815</v>
      </c>
      <c r="G17" s="11">
        <f t="shared" si="6"/>
        <v>104.63256585365852</v>
      </c>
      <c r="H17" s="11">
        <f t="shared" si="7"/>
        <v>99.661516747967482</v>
      </c>
      <c r="I17" s="11">
        <f t="shared" si="8"/>
        <v>104.63256585365852</v>
      </c>
      <c r="J17" s="11">
        <f t="shared" si="12"/>
        <v>99.661516747967482</v>
      </c>
      <c r="M17" s="1" t="str">
        <f t="shared" si="1"/>
        <v>13 Республика Мордовия</v>
      </c>
      <c r="N17" s="343">
        <v>15279</v>
      </c>
      <c r="O17" s="12">
        <f t="shared" si="9"/>
        <v>93.16463414634147</v>
      </c>
      <c r="P17" s="11">
        <f t="shared" si="2"/>
        <v>132.02771093444429</v>
      </c>
      <c r="R17" s="11">
        <f t="shared" si="3"/>
        <v>132.02771093444429</v>
      </c>
      <c r="S17" s="11">
        <f t="shared" si="4"/>
        <v>132.02771093444429</v>
      </c>
      <c r="T17" s="11">
        <f t="shared" si="10"/>
        <v>132.02771093444429</v>
      </c>
      <c r="U17" s="11">
        <f t="shared" si="11"/>
        <v>132.02771093444429</v>
      </c>
      <c r="W17" s="1" t="s">
        <v>203</v>
      </c>
    </row>
    <row r="18" spans="1:23" x14ac:dyDescent="0.25">
      <c r="A18" s="7">
        <v>14</v>
      </c>
      <c r="B18" s="7">
        <v>14</v>
      </c>
      <c r="C18" s="9" t="s">
        <v>125</v>
      </c>
      <c r="D18" s="10">
        <v>40868.9</v>
      </c>
      <c r="E18" s="11">
        <f t="shared" si="0"/>
        <v>32695.120000000003</v>
      </c>
      <c r="F18" s="11">
        <f t="shared" si="5"/>
        <v>132.9069918699187</v>
      </c>
      <c r="G18" s="11">
        <f t="shared" si="6"/>
        <v>173.44362439024388</v>
      </c>
      <c r="H18" s="11">
        <f t="shared" si="7"/>
        <v>165.20339089430897</v>
      </c>
      <c r="I18" s="11">
        <f t="shared" si="8"/>
        <v>167.4822707317073</v>
      </c>
      <c r="J18" s="11">
        <f t="shared" si="12"/>
        <v>159.71894552845529</v>
      </c>
      <c r="M18" s="1" t="str">
        <f t="shared" si="1"/>
        <v>14 Республика Саха (Якутия)</v>
      </c>
      <c r="N18" s="343">
        <v>15279</v>
      </c>
      <c r="O18" s="12">
        <f t="shared" si="9"/>
        <v>93.16463414634147</v>
      </c>
      <c r="P18" s="11">
        <f t="shared" si="2"/>
        <v>132.02771093444429</v>
      </c>
      <c r="R18" s="11">
        <f t="shared" si="3"/>
        <v>173.44362439024388</v>
      </c>
      <c r="S18" s="11">
        <f t="shared" si="4"/>
        <v>165.20339089430897</v>
      </c>
      <c r="T18" s="11">
        <f t="shared" si="10"/>
        <v>167.4822707317073</v>
      </c>
      <c r="U18" s="11">
        <f t="shared" si="11"/>
        <v>159.71894552845529</v>
      </c>
      <c r="W18" s="1" t="s">
        <v>204</v>
      </c>
    </row>
    <row r="19" spans="1:23" x14ac:dyDescent="0.25">
      <c r="A19" s="7">
        <v>15</v>
      </c>
      <c r="B19" s="8" t="s">
        <v>169</v>
      </c>
      <c r="C19" s="9" t="s">
        <v>143</v>
      </c>
      <c r="D19" s="10">
        <v>14752.7</v>
      </c>
      <c r="E19" s="11">
        <f t="shared" si="0"/>
        <v>11802.160000000002</v>
      </c>
      <c r="F19" s="11">
        <f t="shared" si="5"/>
        <v>47.976260162601633</v>
      </c>
      <c r="G19" s="11">
        <f t="shared" si="6"/>
        <v>62.609019512195125</v>
      </c>
      <c r="H19" s="11">
        <f t="shared" si="7"/>
        <v>59.634491382113836</v>
      </c>
      <c r="I19" s="11">
        <f t="shared" si="8"/>
        <v>62.609019512195125</v>
      </c>
      <c r="J19" s="11">
        <f t="shared" si="12"/>
        <v>59.634491382113836</v>
      </c>
      <c r="M19" s="1" t="str">
        <f t="shared" si="1"/>
        <v>15 Республика Северная Осетия-Алания</v>
      </c>
      <c r="N19" s="343">
        <v>15279</v>
      </c>
      <c r="O19" s="12">
        <f t="shared" si="9"/>
        <v>93.16463414634147</v>
      </c>
      <c r="P19" s="11">
        <f t="shared" si="2"/>
        <v>132.02771093444429</v>
      </c>
      <c r="R19" s="11">
        <f t="shared" si="3"/>
        <v>132.02771093444429</v>
      </c>
      <c r="S19" s="11">
        <f t="shared" si="4"/>
        <v>132.02771093444429</v>
      </c>
      <c r="T19" s="11">
        <f t="shared" si="10"/>
        <v>132.02771093444429</v>
      </c>
      <c r="U19" s="11">
        <f t="shared" si="11"/>
        <v>132.02771093444429</v>
      </c>
      <c r="W19" s="1" t="s">
        <v>205</v>
      </c>
    </row>
    <row r="20" spans="1:23" x14ac:dyDescent="0.25">
      <c r="A20" s="7">
        <v>16</v>
      </c>
      <c r="B20" s="8" t="s">
        <v>170</v>
      </c>
      <c r="C20" s="9" t="s">
        <v>146</v>
      </c>
      <c r="D20" s="10">
        <v>31671.7</v>
      </c>
      <c r="E20" s="11">
        <f t="shared" si="0"/>
        <v>25337.360000000001</v>
      </c>
      <c r="F20" s="11">
        <f t="shared" si="5"/>
        <v>102.99739837398374</v>
      </c>
      <c r="G20" s="11">
        <f t="shared" si="6"/>
        <v>134.41160487804876</v>
      </c>
      <c r="H20" s="11">
        <f t="shared" si="7"/>
        <v>128.0257661788618</v>
      </c>
      <c r="I20" s="11">
        <f t="shared" si="8"/>
        <v>132.93669024390243</v>
      </c>
      <c r="J20" s="11">
        <f t="shared" si="12"/>
        <v>126.66884471544716</v>
      </c>
      <c r="M20" s="1" t="str">
        <f t="shared" si="1"/>
        <v>16 Республика Татарстан (Татарстан)</v>
      </c>
      <c r="N20" s="344">
        <v>16700</v>
      </c>
      <c r="O20" s="12">
        <f t="shared" si="9"/>
        <v>101.82926829268293</v>
      </c>
      <c r="P20" s="11">
        <f t="shared" si="2"/>
        <v>144.306746030841</v>
      </c>
      <c r="R20" s="11">
        <f t="shared" si="3"/>
        <v>144.306746030841</v>
      </c>
      <c r="S20" s="11">
        <f t="shared" si="4"/>
        <v>144.306746030841</v>
      </c>
      <c r="T20" s="11">
        <f t="shared" si="10"/>
        <v>144.306746030841</v>
      </c>
      <c r="U20" s="11">
        <f t="shared" si="11"/>
        <v>144.306746030841</v>
      </c>
      <c r="W20" s="1" t="s">
        <v>206</v>
      </c>
    </row>
    <row r="21" spans="1:23" x14ac:dyDescent="0.25">
      <c r="A21" s="7">
        <v>17</v>
      </c>
      <c r="B21" s="7">
        <v>17</v>
      </c>
      <c r="C21" s="9" t="s">
        <v>116</v>
      </c>
      <c r="D21" s="10">
        <v>30428.6</v>
      </c>
      <c r="E21" s="11">
        <f t="shared" si="0"/>
        <v>24342.880000000001</v>
      </c>
      <c r="F21" s="11">
        <f t="shared" si="5"/>
        <v>98.954796747967478</v>
      </c>
      <c r="G21" s="11">
        <f t="shared" si="6"/>
        <v>129.13600975609756</v>
      </c>
      <c r="H21" s="11">
        <f t="shared" si="7"/>
        <v>123.00081235772359</v>
      </c>
      <c r="I21" s="11">
        <f t="shared" si="8"/>
        <v>128.26748536585364</v>
      </c>
      <c r="J21" s="11">
        <f t="shared" si="12"/>
        <v>122.20176991869918</v>
      </c>
      <c r="M21" s="1" t="str">
        <f t="shared" si="1"/>
        <v>17 Республика Тыва</v>
      </c>
      <c r="N21" s="343">
        <v>15279</v>
      </c>
      <c r="O21" s="12">
        <f t="shared" si="9"/>
        <v>93.16463414634147</v>
      </c>
      <c r="P21" s="11">
        <f t="shared" si="2"/>
        <v>132.02771093444429</v>
      </c>
      <c r="R21" s="11">
        <f t="shared" si="3"/>
        <v>132.02771093444429</v>
      </c>
      <c r="S21" s="11">
        <f t="shared" si="4"/>
        <v>132.02771093444429</v>
      </c>
      <c r="T21" s="11">
        <f t="shared" si="10"/>
        <v>132.02771093444429</v>
      </c>
      <c r="U21" s="11">
        <f t="shared" si="11"/>
        <v>132.02771093444429</v>
      </c>
      <c r="W21" s="1" t="s">
        <v>207</v>
      </c>
    </row>
    <row r="22" spans="1:23" x14ac:dyDescent="0.25">
      <c r="A22" s="7">
        <v>18</v>
      </c>
      <c r="B22" s="8" t="s">
        <v>171</v>
      </c>
      <c r="C22" s="9" t="s">
        <v>103</v>
      </c>
      <c r="D22" s="10">
        <v>22390.7</v>
      </c>
      <c r="E22" s="11">
        <f t="shared" si="0"/>
        <v>17912.560000000001</v>
      </c>
      <c r="F22" s="11">
        <f t="shared" si="5"/>
        <v>72.81528455284554</v>
      </c>
      <c r="G22" s="11">
        <f t="shared" si="6"/>
        <v>95.023946341463429</v>
      </c>
      <c r="H22" s="11">
        <f t="shared" si="7"/>
        <v>90.509398699187017</v>
      </c>
      <c r="I22" s="11">
        <f t="shared" si="8"/>
        <v>95.023946341463429</v>
      </c>
      <c r="J22" s="11">
        <f t="shared" si="12"/>
        <v>90.509398699187017</v>
      </c>
      <c r="M22" s="1" t="str">
        <f t="shared" si="1"/>
        <v>18 Удмуртская Республика</v>
      </c>
      <c r="N22" s="343">
        <v>15974</v>
      </c>
      <c r="O22" s="12">
        <f t="shared" si="9"/>
        <v>97.402439024390247</v>
      </c>
      <c r="P22" s="11">
        <f t="shared" si="2"/>
        <v>138.03329108363201</v>
      </c>
      <c r="R22" s="11">
        <f t="shared" si="3"/>
        <v>138.03329108363201</v>
      </c>
      <c r="S22" s="11">
        <f t="shared" si="4"/>
        <v>138.03329108363201</v>
      </c>
      <c r="T22" s="11">
        <f t="shared" si="10"/>
        <v>138.03329108363201</v>
      </c>
      <c r="U22" s="11">
        <f t="shared" si="11"/>
        <v>138.03329108363201</v>
      </c>
      <c r="W22" s="1" t="s">
        <v>208</v>
      </c>
    </row>
    <row r="23" spans="1:23" x14ac:dyDescent="0.25">
      <c r="A23" s="7">
        <v>19</v>
      </c>
      <c r="B23" s="7">
        <v>19</v>
      </c>
      <c r="C23" s="9" t="s">
        <v>117</v>
      </c>
      <c r="D23" s="10">
        <v>29638.5</v>
      </c>
      <c r="E23" s="11">
        <f t="shared" si="0"/>
        <v>23710.800000000003</v>
      </c>
      <c r="F23" s="11">
        <f t="shared" si="5"/>
        <v>96.385365853658541</v>
      </c>
      <c r="G23" s="11">
        <f t="shared" si="6"/>
        <v>125.7829024390244</v>
      </c>
      <c r="H23" s="11">
        <f t="shared" si="7"/>
        <v>119.80700975609757</v>
      </c>
      <c r="I23" s="11">
        <f t="shared" si="8"/>
        <v>125.29979268292682</v>
      </c>
      <c r="J23" s="11">
        <f t="shared" si="12"/>
        <v>119.36254878048781</v>
      </c>
      <c r="M23" s="1" t="str">
        <f t="shared" si="1"/>
        <v>19 Республика Хакасия</v>
      </c>
      <c r="N23" s="343">
        <v>15279</v>
      </c>
      <c r="O23" s="12">
        <f t="shared" si="9"/>
        <v>93.16463414634147</v>
      </c>
      <c r="P23" s="11">
        <f t="shared" si="2"/>
        <v>132.02771093444429</v>
      </c>
      <c r="R23" s="11">
        <f t="shared" si="3"/>
        <v>132.02771093444429</v>
      </c>
      <c r="S23" s="11">
        <f t="shared" si="4"/>
        <v>132.02771093444429</v>
      </c>
      <c r="T23" s="11">
        <f t="shared" si="10"/>
        <v>132.02771093444429</v>
      </c>
      <c r="U23" s="11">
        <f t="shared" si="11"/>
        <v>132.02771093444429</v>
      </c>
      <c r="W23" s="1" t="s">
        <v>209</v>
      </c>
    </row>
    <row r="24" spans="1:23" x14ac:dyDescent="0.25">
      <c r="A24" s="7">
        <v>20</v>
      </c>
      <c r="B24" s="8" t="s">
        <v>172</v>
      </c>
      <c r="C24" s="9" t="s">
        <v>144</v>
      </c>
      <c r="D24" s="10">
        <v>21713.3</v>
      </c>
      <c r="E24" s="11">
        <f t="shared" si="0"/>
        <v>17370.64</v>
      </c>
      <c r="F24" s="11">
        <f t="shared" si="5"/>
        <v>70.612357723577233</v>
      </c>
      <c r="G24" s="11">
        <f t="shared" si="6"/>
        <v>92.149126829268283</v>
      </c>
      <c r="H24" s="11">
        <f t="shared" si="7"/>
        <v>87.771160650406514</v>
      </c>
      <c r="I24" s="11">
        <f t="shared" si="8"/>
        <v>92.149126829268283</v>
      </c>
      <c r="J24" s="11">
        <f t="shared" si="12"/>
        <v>87.771160650406514</v>
      </c>
      <c r="M24" s="1" t="str">
        <f t="shared" si="1"/>
        <v>20 Чеченская Республика</v>
      </c>
      <c r="N24" s="343">
        <v>15279</v>
      </c>
      <c r="O24" s="12">
        <f t="shared" si="9"/>
        <v>93.16463414634147</v>
      </c>
      <c r="P24" s="11">
        <f t="shared" si="2"/>
        <v>132.02771093444429</v>
      </c>
      <c r="R24" s="11">
        <f t="shared" si="3"/>
        <v>132.02771093444429</v>
      </c>
      <c r="S24" s="11">
        <f t="shared" si="4"/>
        <v>132.02771093444429</v>
      </c>
      <c r="T24" s="11">
        <f t="shared" si="10"/>
        <v>132.02771093444429</v>
      </c>
      <c r="U24" s="11">
        <f t="shared" si="11"/>
        <v>132.02771093444429</v>
      </c>
      <c r="W24" s="1" t="s">
        <v>210</v>
      </c>
    </row>
    <row r="25" spans="1:23" x14ac:dyDescent="0.25">
      <c r="A25" s="7">
        <v>21</v>
      </c>
      <c r="B25" s="8" t="s">
        <v>173</v>
      </c>
      <c r="C25" s="9" t="s">
        <v>147</v>
      </c>
      <c r="D25" s="10">
        <v>21205.200000000001</v>
      </c>
      <c r="E25" s="11">
        <f t="shared" si="0"/>
        <v>16964.16</v>
      </c>
      <c r="F25" s="11">
        <f t="shared" si="5"/>
        <v>68.959999999999994</v>
      </c>
      <c r="G25" s="11">
        <f t="shared" si="6"/>
        <v>89.992799999999988</v>
      </c>
      <c r="H25" s="11">
        <f t="shared" si="7"/>
        <v>85.717280000000002</v>
      </c>
      <c r="I25" s="11">
        <f t="shared" si="8"/>
        <v>89.992799999999988</v>
      </c>
      <c r="J25" s="11">
        <f t="shared" si="12"/>
        <v>85.717280000000002</v>
      </c>
      <c r="M25" s="1" t="str">
        <f t="shared" si="1"/>
        <v>21 Чувашская Республика - Чувашия</v>
      </c>
      <c r="N25" s="343">
        <v>15279</v>
      </c>
      <c r="O25" s="12">
        <f t="shared" si="9"/>
        <v>93.16463414634147</v>
      </c>
      <c r="P25" s="11">
        <f t="shared" si="2"/>
        <v>132.02771093444429</v>
      </c>
      <c r="R25" s="11">
        <f t="shared" si="3"/>
        <v>132.02771093444429</v>
      </c>
      <c r="S25" s="11">
        <f t="shared" si="4"/>
        <v>132.02771093444429</v>
      </c>
      <c r="T25" s="11">
        <f t="shared" si="10"/>
        <v>132.02771093444429</v>
      </c>
      <c r="U25" s="11">
        <f t="shared" si="11"/>
        <v>132.02771093444429</v>
      </c>
      <c r="W25" s="1" t="s">
        <v>219</v>
      </c>
    </row>
    <row r="26" spans="1:23" x14ac:dyDescent="0.25">
      <c r="A26" s="7">
        <v>22</v>
      </c>
      <c r="B26" s="7">
        <v>22</v>
      </c>
      <c r="C26" s="9" t="s">
        <v>118</v>
      </c>
      <c r="D26" s="10">
        <v>20173.8</v>
      </c>
      <c r="E26" s="11">
        <f t="shared" si="0"/>
        <v>16139.04</v>
      </c>
      <c r="F26" s="11">
        <f t="shared" si="5"/>
        <v>65.605853658536589</v>
      </c>
      <c r="G26" s="11">
        <f t="shared" si="6"/>
        <v>85.615639024390248</v>
      </c>
      <c r="H26" s="11">
        <f t="shared" si="7"/>
        <v>81.54807609756098</v>
      </c>
      <c r="I26" s="11">
        <f t="shared" si="8"/>
        <v>85.615639024390248</v>
      </c>
      <c r="J26" s="11">
        <f t="shared" si="12"/>
        <v>81.54807609756098</v>
      </c>
      <c r="M26" s="1" t="str">
        <f t="shared" si="1"/>
        <v>22 Алтайский край</v>
      </c>
      <c r="N26" s="345">
        <v>16638</v>
      </c>
      <c r="O26" s="12">
        <f t="shared" si="9"/>
        <v>101.45121951219512</v>
      </c>
      <c r="P26" s="11">
        <f t="shared" si="2"/>
        <v>143.77099643479838</v>
      </c>
      <c r="R26" s="11">
        <f t="shared" si="3"/>
        <v>143.77099643479838</v>
      </c>
      <c r="S26" s="11">
        <f t="shared" si="4"/>
        <v>143.77099643479838</v>
      </c>
      <c r="T26" s="11">
        <f t="shared" si="10"/>
        <v>143.77099643479838</v>
      </c>
      <c r="U26" s="11">
        <f t="shared" si="11"/>
        <v>143.77099643479838</v>
      </c>
      <c r="W26" s="1" t="s">
        <v>211</v>
      </c>
    </row>
    <row r="27" spans="1:23" x14ac:dyDescent="0.25">
      <c r="A27" s="7">
        <v>23</v>
      </c>
      <c r="B27" s="7">
        <v>23</v>
      </c>
      <c r="C27" s="9" t="s">
        <v>96</v>
      </c>
      <c r="D27" s="10">
        <v>31485.8</v>
      </c>
      <c r="E27" s="11">
        <f t="shared" si="0"/>
        <v>25188.639999999999</v>
      </c>
      <c r="F27" s="11">
        <f t="shared" si="5"/>
        <v>102.39284552845528</v>
      </c>
      <c r="G27" s="11">
        <f t="shared" si="6"/>
        <v>133.62266341463413</v>
      </c>
      <c r="H27" s="11">
        <f t="shared" si="7"/>
        <v>127.27430699186992</v>
      </c>
      <c r="I27" s="11">
        <f t="shared" si="8"/>
        <v>132.23843170731706</v>
      </c>
      <c r="J27" s="11">
        <f t="shared" si="12"/>
        <v>126.00081382113821</v>
      </c>
      <c r="M27" s="1" t="str">
        <f t="shared" si="1"/>
        <v>23 Краснодарский край</v>
      </c>
      <c r="N27" s="343">
        <v>16043</v>
      </c>
      <c r="O27" s="12">
        <f t="shared" si="9"/>
        <v>97.823170731707322</v>
      </c>
      <c r="P27" s="11">
        <f t="shared" si="2"/>
        <v>138.62952853729234</v>
      </c>
      <c r="R27" s="11">
        <f t="shared" si="3"/>
        <v>138.62952853729234</v>
      </c>
      <c r="S27" s="11">
        <f t="shared" si="4"/>
        <v>138.62952853729234</v>
      </c>
      <c r="T27" s="11">
        <f t="shared" si="10"/>
        <v>138.62952853729234</v>
      </c>
      <c r="U27" s="11">
        <f t="shared" si="11"/>
        <v>138.62952853729234</v>
      </c>
      <c r="W27" s="1" t="s">
        <v>212</v>
      </c>
    </row>
    <row r="28" spans="1:23" x14ac:dyDescent="0.25">
      <c r="A28" s="7">
        <v>24</v>
      </c>
      <c r="B28" s="13">
        <v>24</v>
      </c>
      <c r="C28" s="9" t="s">
        <v>119</v>
      </c>
      <c r="D28" s="10">
        <v>36205.9</v>
      </c>
      <c r="E28" s="11">
        <f t="shared" si="0"/>
        <v>28964.720000000001</v>
      </c>
      <c r="F28" s="11">
        <f t="shared" si="5"/>
        <v>117.74276422764228</v>
      </c>
      <c r="G28" s="11">
        <f t="shared" si="6"/>
        <v>153.65430731707318</v>
      </c>
      <c r="H28" s="11">
        <f t="shared" si="7"/>
        <v>146.35425593495938</v>
      </c>
      <c r="I28" s="11">
        <f t="shared" si="8"/>
        <v>149.96758780487804</v>
      </c>
      <c r="J28" s="11">
        <f t="shared" si="12"/>
        <v>142.96247398373984</v>
      </c>
      <c r="M28" s="1" t="str">
        <f t="shared" si="1"/>
        <v>24 Красноярский край</v>
      </c>
      <c r="N28" s="343">
        <v>15279</v>
      </c>
      <c r="O28" s="12">
        <f t="shared" si="9"/>
        <v>93.16463414634147</v>
      </c>
      <c r="P28" s="11">
        <f t="shared" si="2"/>
        <v>132.02771093444429</v>
      </c>
      <c r="R28" s="11">
        <f t="shared" si="3"/>
        <v>153.65430731707318</v>
      </c>
      <c r="S28" s="11">
        <f t="shared" si="4"/>
        <v>146.35425593495938</v>
      </c>
      <c r="T28" s="11">
        <f t="shared" si="10"/>
        <v>149.96758780487804</v>
      </c>
      <c r="U28" s="11">
        <f t="shared" si="11"/>
        <v>142.96247398373984</v>
      </c>
      <c r="W28" s="1" t="s">
        <v>213</v>
      </c>
    </row>
    <row r="29" spans="1:23" x14ac:dyDescent="0.25">
      <c r="A29" s="7">
        <v>25</v>
      </c>
      <c r="B29" s="7">
        <v>25</v>
      </c>
      <c r="C29" s="9" t="s">
        <v>128</v>
      </c>
      <c r="D29" s="10">
        <v>34687.599999999999</v>
      </c>
      <c r="E29" s="11">
        <f t="shared" si="0"/>
        <v>27750.080000000002</v>
      </c>
      <c r="F29" s="11">
        <f t="shared" si="5"/>
        <v>112.80520325203253</v>
      </c>
      <c r="G29" s="11">
        <f t="shared" si="6"/>
        <v>147.21079024390244</v>
      </c>
      <c r="H29" s="11">
        <f t="shared" si="7"/>
        <v>140.21686764227644</v>
      </c>
      <c r="I29" s="11">
        <f t="shared" si="8"/>
        <v>144.26470487804878</v>
      </c>
      <c r="J29" s="11">
        <f t="shared" si="12"/>
        <v>137.50646910569105</v>
      </c>
      <c r="M29" s="1" t="str">
        <f t="shared" si="1"/>
        <v>25 Приморский край</v>
      </c>
      <c r="N29" s="343">
        <v>15279</v>
      </c>
      <c r="O29" s="12">
        <f t="shared" si="9"/>
        <v>93.16463414634147</v>
      </c>
      <c r="P29" s="11">
        <f t="shared" si="2"/>
        <v>132.02771093444429</v>
      </c>
      <c r="R29" s="11">
        <f t="shared" si="3"/>
        <v>147.21079024390244</v>
      </c>
      <c r="S29" s="11">
        <f t="shared" si="4"/>
        <v>140.21686764227644</v>
      </c>
      <c r="T29" s="11">
        <f t="shared" si="10"/>
        <v>144.26470487804878</v>
      </c>
      <c r="U29" s="11">
        <f t="shared" si="11"/>
        <v>137.50646910569105</v>
      </c>
      <c r="W29" s="1" t="s">
        <v>214</v>
      </c>
    </row>
    <row r="30" spans="1:23" x14ac:dyDescent="0.25">
      <c r="A30" s="7">
        <v>26</v>
      </c>
      <c r="B30" s="8" t="s">
        <v>174</v>
      </c>
      <c r="C30" s="9" t="s">
        <v>145</v>
      </c>
      <c r="D30" s="10">
        <v>22594.799999999999</v>
      </c>
      <c r="E30" s="11">
        <f t="shared" si="0"/>
        <v>18075.84</v>
      </c>
      <c r="F30" s="11">
        <f t="shared" si="5"/>
        <v>73.479024390243907</v>
      </c>
      <c r="G30" s="11">
        <f t="shared" si="6"/>
        <v>95.890126829268297</v>
      </c>
      <c r="H30" s="11">
        <f t="shared" si="7"/>
        <v>91.334427317073178</v>
      </c>
      <c r="I30" s="11">
        <f t="shared" si="8"/>
        <v>95.890126829268297</v>
      </c>
      <c r="J30" s="11">
        <f t="shared" si="12"/>
        <v>91.334427317073178</v>
      </c>
      <c r="M30" s="1" t="str">
        <f t="shared" si="1"/>
        <v>26 Ставропольский край</v>
      </c>
      <c r="N30" s="343">
        <v>15279</v>
      </c>
      <c r="O30" s="12">
        <f t="shared" si="9"/>
        <v>93.16463414634147</v>
      </c>
      <c r="P30" s="11">
        <f t="shared" si="2"/>
        <v>132.02771093444429</v>
      </c>
      <c r="R30" s="11">
        <f t="shared" si="3"/>
        <v>132.02771093444429</v>
      </c>
      <c r="S30" s="11">
        <f t="shared" si="4"/>
        <v>132.02771093444429</v>
      </c>
      <c r="T30" s="11">
        <f t="shared" si="10"/>
        <v>132.02771093444429</v>
      </c>
      <c r="U30" s="11">
        <f t="shared" si="11"/>
        <v>132.02771093444429</v>
      </c>
      <c r="W30" s="1" t="s">
        <v>215</v>
      </c>
    </row>
    <row r="31" spans="1:23" x14ac:dyDescent="0.25">
      <c r="A31" s="7">
        <v>27</v>
      </c>
      <c r="B31" s="7">
        <v>27</v>
      </c>
      <c r="C31" s="9" t="s">
        <v>129</v>
      </c>
      <c r="D31" s="10">
        <v>40480.5</v>
      </c>
      <c r="E31" s="11">
        <f t="shared" si="0"/>
        <v>32384.400000000001</v>
      </c>
      <c r="F31" s="11">
        <f t="shared" si="5"/>
        <v>131.6439024390244</v>
      </c>
      <c r="G31" s="11">
        <f t="shared" si="6"/>
        <v>171.79529268292683</v>
      </c>
      <c r="H31" s="11">
        <f t="shared" si="7"/>
        <v>163.63337073170734</v>
      </c>
      <c r="I31" s="11">
        <f t="shared" si="8"/>
        <v>166.02340243902438</v>
      </c>
      <c r="J31" s="11">
        <f t="shared" si="12"/>
        <v>158.32323170731709</v>
      </c>
      <c r="M31" s="1" t="str">
        <f t="shared" si="1"/>
        <v>27 Хабаровский край</v>
      </c>
      <c r="N31" s="343">
        <v>15279</v>
      </c>
      <c r="O31" s="12">
        <f t="shared" si="9"/>
        <v>93.16463414634147</v>
      </c>
      <c r="P31" s="11">
        <f t="shared" si="2"/>
        <v>132.02771093444429</v>
      </c>
      <c r="R31" s="11">
        <f t="shared" si="3"/>
        <v>171.79529268292683</v>
      </c>
      <c r="S31" s="11">
        <f t="shared" si="4"/>
        <v>163.63337073170734</v>
      </c>
      <c r="T31" s="11">
        <f t="shared" si="10"/>
        <v>166.02340243902438</v>
      </c>
      <c r="U31" s="11">
        <f t="shared" si="11"/>
        <v>158.32323170731709</v>
      </c>
    </row>
    <row r="32" spans="1:23" x14ac:dyDescent="0.25">
      <c r="A32" s="7">
        <v>28</v>
      </c>
      <c r="B32" s="7">
        <v>28</v>
      </c>
      <c r="C32" s="9" t="s">
        <v>130</v>
      </c>
      <c r="D32" s="10">
        <v>30721.200000000001</v>
      </c>
      <c r="E32" s="11">
        <f t="shared" si="0"/>
        <v>24576.960000000003</v>
      </c>
      <c r="F32" s="11">
        <f t="shared" si="5"/>
        <v>99.906341463414648</v>
      </c>
      <c r="G32" s="11">
        <f t="shared" si="6"/>
        <v>130.3777756097561</v>
      </c>
      <c r="H32" s="11">
        <f t="shared" si="7"/>
        <v>124.18358243902442</v>
      </c>
      <c r="I32" s="11">
        <f t="shared" si="8"/>
        <v>129.36651951219514</v>
      </c>
      <c r="J32" s="11">
        <f t="shared" si="12"/>
        <v>123.25322682926831</v>
      </c>
      <c r="M32" s="1" t="str">
        <f t="shared" si="1"/>
        <v>28 Амурская область</v>
      </c>
      <c r="N32" s="343">
        <v>15279</v>
      </c>
      <c r="O32" s="12">
        <f t="shared" si="9"/>
        <v>93.16463414634147</v>
      </c>
      <c r="P32" s="11">
        <f t="shared" si="2"/>
        <v>132.02771093444429</v>
      </c>
      <c r="R32" s="11">
        <f t="shared" si="3"/>
        <v>132.02771093444429</v>
      </c>
      <c r="S32" s="11">
        <f t="shared" si="4"/>
        <v>132.02771093444429</v>
      </c>
      <c r="T32" s="11">
        <f t="shared" si="10"/>
        <v>132.02771093444429</v>
      </c>
      <c r="U32" s="11">
        <f t="shared" si="11"/>
        <v>132.02771093444429</v>
      </c>
    </row>
    <row r="33" spans="1:21" x14ac:dyDescent="0.25">
      <c r="A33" s="7">
        <v>29</v>
      </c>
      <c r="B33" s="7">
        <v>29</v>
      </c>
      <c r="C33" s="9" t="s">
        <v>87</v>
      </c>
      <c r="D33" s="10">
        <v>32236.6</v>
      </c>
      <c r="E33" s="11">
        <f t="shared" si="0"/>
        <v>25789.279999999999</v>
      </c>
      <c r="F33" s="11">
        <f t="shared" si="5"/>
        <v>104.83447154471544</v>
      </c>
      <c r="G33" s="11">
        <f t="shared" si="6"/>
        <v>136.80898536585366</v>
      </c>
      <c r="H33" s="11">
        <f t="shared" si="7"/>
        <v>130.3092481300813</v>
      </c>
      <c r="I33" s="11">
        <f t="shared" si="8"/>
        <v>135.05850975609755</v>
      </c>
      <c r="J33" s="11">
        <f t="shared" si="12"/>
        <v>128.69881056910569</v>
      </c>
      <c r="M33" s="1" t="str">
        <f t="shared" si="1"/>
        <v>29 Архангельская область</v>
      </c>
      <c r="N33" s="343">
        <v>15279</v>
      </c>
      <c r="O33" s="12">
        <f t="shared" si="9"/>
        <v>93.16463414634147</v>
      </c>
      <c r="P33" s="11">
        <f t="shared" si="2"/>
        <v>132.02771093444429</v>
      </c>
      <c r="R33" s="11">
        <f t="shared" si="3"/>
        <v>136.80898536585366</v>
      </c>
      <c r="S33" s="11">
        <f t="shared" si="4"/>
        <v>132.02771093444429</v>
      </c>
      <c r="T33" s="11">
        <f t="shared" si="10"/>
        <v>135.05850975609755</v>
      </c>
      <c r="U33" s="11">
        <f t="shared" si="11"/>
        <v>132.02771093444429</v>
      </c>
    </row>
    <row r="34" spans="1:21" x14ac:dyDescent="0.25">
      <c r="A34" s="7">
        <v>30</v>
      </c>
      <c r="B34" s="7">
        <v>30</v>
      </c>
      <c r="C34" s="9" t="s">
        <v>97</v>
      </c>
      <c r="D34" s="10">
        <v>19732.900000000001</v>
      </c>
      <c r="E34" s="11">
        <f t="shared" si="0"/>
        <v>15786.320000000002</v>
      </c>
      <c r="F34" s="11">
        <f t="shared" si="5"/>
        <v>64.172032520325203</v>
      </c>
      <c r="G34" s="11">
        <f t="shared" si="6"/>
        <v>83.744502439024387</v>
      </c>
      <c r="H34" s="11">
        <f t="shared" si="7"/>
        <v>79.765836422764238</v>
      </c>
      <c r="I34" s="11">
        <f t="shared" si="8"/>
        <v>83.744502439024387</v>
      </c>
      <c r="J34" s="11">
        <f t="shared" si="12"/>
        <v>79.765836422764238</v>
      </c>
      <c r="M34" s="1" t="str">
        <f t="shared" si="1"/>
        <v>30 Астраханская область</v>
      </c>
      <c r="N34" s="343">
        <v>15279</v>
      </c>
      <c r="O34" s="12">
        <f t="shared" si="9"/>
        <v>93.16463414634147</v>
      </c>
      <c r="P34" s="11">
        <f t="shared" si="2"/>
        <v>132.02771093444429</v>
      </c>
      <c r="R34" s="11">
        <f t="shared" si="3"/>
        <v>132.02771093444429</v>
      </c>
      <c r="S34" s="11">
        <f t="shared" si="4"/>
        <v>132.02771093444429</v>
      </c>
      <c r="T34" s="11">
        <f t="shared" si="10"/>
        <v>132.02771093444429</v>
      </c>
      <c r="U34" s="11">
        <f t="shared" si="11"/>
        <v>132.02771093444429</v>
      </c>
    </row>
    <row r="35" spans="1:21" x14ac:dyDescent="0.25">
      <c r="A35" s="7">
        <v>31</v>
      </c>
      <c r="B35" s="7">
        <v>31</v>
      </c>
      <c r="C35" s="14" t="s">
        <v>69</v>
      </c>
      <c r="D35" s="347">
        <v>25522.400000000001</v>
      </c>
      <c r="E35" s="11">
        <f t="shared" si="0"/>
        <v>20417.920000000002</v>
      </c>
      <c r="F35" s="11">
        <f t="shared" si="5"/>
        <v>82.999674796747982</v>
      </c>
      <c r="G35" s="11">
        <f t="shared" si="6"/>
        <v>108.3145756097561</v>
      </c>
      <c r="H35" s="11">
        <f t="shared" si="7"/>
        <v>103.16859577235775</v>
      </c>
      <c r="I35" s="11">
        <f t="shared" si="8"/>
        <v>108.3145756097561</v>
      </c>
      <c r="J35" s="11">
        <f t="shared" si="12"/>
        <v>103.16859577235775</v>
      </c>
      <c r="M35" s="1" t="str">
        <f t="shared" si="1"/>
        <v>31 Белгородская область</v>
      </c>
      <c r="N35" s="343">
        <v>15279</v>
      </c>
      <c r="O35" s="12">
        <f t="shared" si="9"/>
        <v>93.16463414634147</v>
      </c>
      <c r="P35" s="11">
        <f t="shared" si="2"/>
        <v>132.02771093444429</v>
      </c>
      <c r="R35" s="11">
        <f t="shared" si="3"/>
        <v>132.02771093444429</v>
      </c>
      <c r="S35" s="11">
        <f t="shared" si="4"/>
        <v>132.02771093444429</v>
      </c>
      <c r="T35" s="11">
        <f t="shared" si="10"/>
        <v>132.02771093444429</v>
      </c>
      <c r="U35" s="11">
        <f t="shared" si="11"/>
        <v>132.02771093444429</v>
      </c>
    </row>
    <row r="36" spans="1:21" x14ac:dyDescent="0.25">
      <c r="A36" s="7">
        <v>32</v>
      </c>
      <c r="B36" s="7">
        <v>32</v>
      </c>
      <c r="C36" s="16" t="s">
        <v>70</v>
      </c>
      <c r="D36" s="10">
        <v>18920.7</v>
      </c>
      <c r="E36" s="11">
        <f t="shared" si="0"/>
        <v>15136.560000000001</v>
      </c>
      <c r="F36" s="11">
        <f t="shared" si="5"/>
        <v>61.530731707317081</v>
      </c>
      <c r="G36" s="11">
        <f t="shared" si="6"/>
        <v>80.297604878048787</v>
      </c>
      <c r="H36" s="11">
        <f t="shared" si="7"/>
        <v>76.48269951219514</v>
      </c>
      <c r="I36" s="11">
        <f t="shared" si="8"/>
        <v>80.297604878048787</v>
      </c>
      <c r="J36" s="11">
        <f t="shared" si="12"/>
        <v>76.48269951219514</v>
      </c>
      <c r="M36" s="1" t="str">
        <f t="shared" si="1"/>
        <v>32 Брянская область</v>
      </c>
      <c r="N36" s="346">
        <v>15279</v>
      </c>
      <c r="O36" s="12">
        <f t="shared" si="9"/>
        <v>93.16463414634147</v>
      </c>
      <c r="P36" s="11">
        <f t="shared" si="2"/>
        <v>132.02771093444429</v>
      </c>
      <c r="R36" s="11">
        <f t="shared" si="3"/>
        <v>132.02771093444429</v>
      </c>
      <c r="S36" s="11">
        <f t="shared" si="4"/>
        <v>132.02771093444429</v>
      </c>
      <c r="T36" s="11">
        <f t="shared" si="10"/>
        <v>132.02771093444429</v>
      </c>
      <c r="U36" s="11">
        <f t="shared" si="11"/>
        <v>132.02771093444429</v>
      </c>
    </row>
    <row r="37" spans="1:21" x14ac:dyDescent="0.25">
      <c r="A37" s="7">
        <v>33</v>
      </c>
      <c r="B37" s="7">
        <v>33</v>
      </c>
      <c r="C37" s="14" t="s">
        <v>71</v>
      </c>
      <c r="D37" s="15">
        <v>22468.1</v>
      </c>
      <c r="E37" s="11">
        <f t="shared" ref="E37:E68" si="13">D37*0.8</f>
        <v>17974.48</v>
      </c>
      <c r="F37" s="11">
        <f t="shared" si="5"/>
        <v>73.066991869918695</v>
      </c>
      <c r="G37" s="11">
        <f t="shared" si="6"/>
        <v>95.352424390243897</v>
      </c>
      <c r="H37" s="11">
        <f t="shared" si="7"/>
        <v>90.822270894308943</v>
      </c>
      <c r="I37" s="11">
        <f t="shared" si="8"/>
        <v>95.352424390243897</v>
      </c>
      <c r="J37" s="11">
        <f t="shared" si="12"/>
        <v>90.822270894308943</v>
      </c>
      <c r="M37" s="1" t="str">
        <f t="shared" ref="M37:M68" si="14">CONCATENATE(B37," ",C37)</f>
        <v>33 Владимирская область</v>
      </c>
      <c r="N37" s="343">
        <v>15279</v>
      </c>
      <c r="O37" s="12">
        <f t="shared" si="9"/>
        <v>93.16463414634147</v>
      </c>
      <c r="P37" s="11">
        <f t="shared" si="2"/>
        <v>132.02771093444429</v>
      </c>
      <c r="R37" s="11">
        <f t="shared" ref="R37:R68" si="15">IF(P37&gt;G37,P37,G37)</f>
        <v>132.02771093444429</v>
      </c>
      <c r="S37" s="11">
        <f t="shared" ref="S37:S68" si="16">IF(P37&gt;H37,P37,H37)</f>
        <v>132.02771093444429</v>
      </c>
      <c r="T37" s="11">
        <f t="shared" si="10"/>
        <v>132.02771093444429</v>
      </c>
      <c r="U37" s="11">
        <f t="shared" si="11"/>
        <v>132.02771093444429</v>
      </c>
    </row>
    <row r="38" spans="1:21" x14ac:dyDescent="0.25">
      <c r="A38" s="7">
        <v>34</v>
      </c>
      <c r="B38" s="7">
        <v>34</v>
      </c>
      <c r="C38" s="9" t="s">
        <v>98</v>
      </c>
      <c r="D38" s="10">
        <v>22400.7</v>
      </c>
      <c r="E38" s="11">
        <f t="shared" si="13"/>
        <v>17920.560000000001</v>
      </c>
      <c r="F38" s="11">
        <f t="shared" si="5"/>
        <v>72.847804878048791</v>
      </c>
      <c r="G38" s="11">
        <f t="shared" si="6"/>
        <v>95.066385365853662</v>
      </c>
      <c r="H38" s="11">
        <f t="shared" si="7"/>
        <v>90.549821463414659</v>
      </c>
      <c r="I38" s="11">
        <f t="shared" si="8"/>
        <v>95.066385365853662</v>
      </c>
      <c r="J38" s="11">
        <f t="shared" si="12"/>
        <v>90.549821463414659</v>
      </c>
      <c r="M38" s="1" t="str">
        <f t="shared" si="14"/>
        <v>34 Волгоградская область</v>
      </c>
      <c r="N38" s="10">
        <v>16961</v>
      </c>
      <c r="O38" s="12">
        <f>N38/164</f>
        <v>103.42073170731707</v>
      </c>
      <c r="P38" s="11">
        <f t="shared" si="2"/>
        <v>146.5620790077302</v>
      </c>
      <c r="R38" s="11">
        <f t="shared" si="15"/>
        <v>146.5620790077302</v>
      </c>
      <c r="S38" s="11">
        <f t="shared" si="16"/>
        <v>146.5620790077302</v>
      </c>
      <c r="T38" s="11">
        <f t="shared" si="10"/>
        <v>146.5620790077302</v>
      </c>
      <c r="U38" s="11">
        <f t="shared" si="11"/>
        <v>146.5620790077302</v>
      </c>
    </row>
    <row r="39" spans="1:21" x14ac:dyDescent="0.25">
      <c r="A39" s="7">
        <v>35</v>
      </c>
      <c r="B39" s="7">
        <v>35</v>
      </c>
      <c r="C39" s="9" t="s">
        <v>88</v>
      </c>
      <c r="D39" s="10">
        <v>23509.8</v>
      </c>
      <c r="E39" s="11">
        <f t="shared" si="13"/>
        <v>18807.84</v>
      </c>
      <c r="F39" s="11">
        <f t="shared" si="5"/>
        <v>76.454634146341462</v>
      </c>
      <c r="G39" s="11">
        <f t="shared" si="6"/>
        <v>99.773297560975607</v>
      </c>
      <c r="H39" s="11">
        <f t="shared" si="7"/>
        <v>95.033110243902442</v>
      </c>
      <c r="I39" s="11">
        <f t="shared" si="8"/>
        <v>99.773297560975607</v>
      </c>
      <c r="J39" s="11">
        <f t="shared" si="12"/>
        <v>95.033110243902442</v>
      </c>
      <c r="M39" s="1" t="str">
        <f t="shared" si="14"/>
        <v>35 Вологодская область</v>
      </c>
      <c r="N39" s="343">
        <v>15279</v>
      </c>
      <c r="O39" s="12">
        <f t="shared" si="9"/>
        <v>93.16463414634147</v>
      </c>
      <c r="P39" s="11">
        <f t="shared" si="2"/>
        <v>132.02771093444429</v>
      </c>
      <c r="R39" s="11">
        <f t="shared" si="15"/>
        <v>132.02771093444429</v>
      </c>
      <c r="S39" s="11">
        <f t="shared" si="16"/>
        <v>132.02771093444429</v>
      </c>
      <c r="T39" s="11">
        <f t="shared" si="10"/>
        <v>132.02771093444429</v>
      </c>
      <c r="U39" s="11">
        <f t="shared" si="11"/>
        <v>132.02771093444429</v>
      </c>
    </row>
    <row r="40" spans="1:21" x14ac:dyDescent="0.25">
      <c r="A40" s="7">
        <v>36</v>
      </c>
      <c r="B40" s="7">
        <v>36</v>
      </c>
      <c r="C40" s="14" t="s">
        <v>72</v>
      </c>
      <c r="D40" s="17">
        <v>27256.5</v>
      </c>
      <c r="E40" s="11">
        <f t="shared" si="13"/>
        <v>21805.200000000001</v>
      </c>
      <c r="F40" s="11">
        <f t="shared" si="5"/>
        <v>88.639024390243904</v>
      </c>
      <c r="G40" s="11">
        <f t="shared" si="6"/>
        <v>115.67392682926828</v>
      </c>
      <c r="H40" s="11">
        <f t="shared" si="7"/>
        <v>110.17830731707318</v>
      </c>
      <c r="I40" s="11">
        <f t="shared" si="8"/>
        <v>115.67392682926828</v>
      </c>
      <c r="J40" s="11">
        <f t="shared" si="12"/>
        <v>110.17830731707318</v>
      </c>
      <c r="M40" s="1" t="str">
        <f t="shared" si="14"/>
        <v>36 Воронежская область</v>
      </c>
      <c r="N40" s="343">
        <v>15279</v>
      </c>
      <c r="O40" s="12">
        <f t="shared" si="9"/>
        <v>93.16463414634147</v>
      </c>
      <c r="P40" s="11">
        <f t="shared" si="2"/>
        <v>132.02771093444429</v>
      </c>
      <c r="R40" s="11">
        <f t="shared" si="15"/>
        <v>132.02771093444429</v>
      </c>
      <c r="S40" s="11">
        <f t="shared" si="16"/>
        <v>132.02771093444429</v>
      </c>
      <c r="T40" s="11">
        <f t="shared" si="10"/>
        <v>132.02771093444429</v>
      </c>
      <c r="U40" s="11">
        <f t="shared" si="11"/>
        <v>132.02771093444429</v>
      </c>
    </row>
    <row r="41" spans="1:21" x14ac:dyDescent="0.25">
      <c r="A41" s="7">
        <v>37</v>
      </c>
      <c r="B41" s="7">
        <v>37</v>
      </c>
      <c r="C41" s="14" t="s">
        <v>73</v>
      </c>
      <c r="D41" s="10">
        <v>24235.200000000001</v>
      </c>
      <c r="E41" s="11">
        <f t="shared" si="13"/>
        <v>19388.16</v>
      </c>
      <c r="F41" s="11">
        <f t="shared" si="5"/>
        <v>78.813658536585365</v>
      </c>
      <c r="G41" s="11">
        <f t="shared" si="6"/>
        <v>102.85182439024389</v>
      </c>
      <c r="H41" s="11">
        <f t="shared" si="7"/>
        <v>97.965377560975611</v>
      </c>
      <c r="I41" s="11">
        <f t="shared" si="8"/>
        <v>102.85182439024389</v>
      </c>
      <c r="J41" s="11">
        <f t="shared" si="12"/>
        <v>97.965377560975611</v>
      </c>
      <c r="M41" s="1" t="str">
        <f t="shared" si="14"/>
        <v>37 Ивановская область</v>
      </c>
      <c r="N41" s="343">
        <v>15279</v>
      </c>
      <c r="O41" s="12">
        <f t="shared" si="9"/>
        <v>93.16463414634147</v>
      </c>
      <c r="P41" s="11">
        <f t="shared" si="2"/>
        <v>132.02771093444429</v>
      </c>
      <c r="R41" s="11">
        <f t="shared" si="15"/>
        <v>132.02771093444429</v>
      </c>
      <c r="S41" s="11">
        <f t="shared" si="16"/>
        <v>132.02771093444429</v>
      </c>
      <c r="T41" s="11">
        <f t="shared" si="10"/>
        <v>132.02771093444429</v>
      </c>
      <c r="U41" s="11">
        <f t="shared" si="11"/>
        <v>132.02771093444429</v>
      </c>
    </row>
    <row r="42" spans="1:21" x14ac:dyDescent="0.25">
      <c r="A42" s="7">
        <v>38</v>
      </c>
      <c r="B42" s="18">
        <v>38</v>
      </c>
      <c r="C42" s="9" t="s">
        <v>120</v>
      </c>
      <c r="D42" s="10">
        <v>36138.6</v>
      </c>
      <c r="E42" s="11">
        <f t="shared" si="13"/>
        <v>28910.880000000001</v>
      </c>
      <c r="F42" s="11">
        <f t="shared" si="5"/>
        <v>117.5239024390244</v>
      </c>
      <c r="G42" s="11">
        <f t="shared" si="6"/>
        <v>153.36869268292682</v>
      </c>
      <c r="H42" s="11">
        <f t="shared" si="7"/>
        <v>146.08221073170733</v>
      </c>
      <c r="I42" s="11">
        <f t="shared" si="8"/>
        <v>149.7148024390244</v>
      </c>
      <c r="J42" s="11">
        <f t="shared" si="12"/>
        <v>142.72063170731707</v>
      </c>
      <c r="M42" s="1" t="str">
        <f t="shared" si="14"/>
        <v>38 Иркутская область</v>
      </c>
      <c r="N42" s="343">
        <v>15279</v>
      </c>
      <c r="O42" s="12">
        <f t="shared" si="9"/>
        <v>93.16463414634147</v>
      </c>
      <c r="P42" s="11">
        <f t="shared" si="2"/>
        <v>132.02771093444429</v>
      </c>
      <c r="R42" s="11">
        <f t="shared" si="15"/>
        <v>153.36869268292682</v>
      </c>
      <c r="S42" s="11">
        <f t="shared" si="16"/>
        <v>146.08221073170733</v>
      </c>
      <c r="T42" s="11">
        <f t="shared" si="10"/>
        <v>149.7148024390244</v>
      </c>
      <c r="U42" s="11">
        <f t="shared" si="11"/>
        <v>142.72063170731707</v>
      </c>
    </row>
    <row r="43" spans="1:21" x14ac:dyDescent="0.25">
      <c r="A43" s="7">
        <v>39</v>
      </c>
      <c r="B43" s="7">
        <v>39</v>
      </c>
      <c r="C43" s="9" t="s">
        <v>89</v>
      </c>
      <c r="D43" s="10">
        <v>30808.400000000001</v>
      </c>
      <c r="E43" s="11">
        <f t="shared" si="13"/>
        <v>24646.720000000001</v>
      </c>
      <c r="F43" s="11">
        <f t="shared" si="5"/>
        <v>100.18991869918699</v>
      </c>
      <c r="G43" s="11">
        <f t="shared" si="6"/>
        <v>130.747843902439</v>
      </c>
      <c r="H43" s="11">
        <f t="shared" si="7"/>
        <v>124.53606894308943</v>
      </c>
      <c r="I43" s="11">
        <f t="shared" si="8"/>
        <v>129.69405121951218</v>
      </c>
      <c r="J43" s="11">
        <f t="shared" si="12"/>
        <v>123.56657967479674</v>
      </c>
      <c r="M43" s="1" t="str">
        <f t="shared" si="14"/>
        <v>39 Калининградская область</v>
      </c>
      <c r="N43" s="343">
        <v>15279</v>
      </c>
      <c r="O43" s="12">
        <f t="shared" si="9"/>
        <v>93.16463414634147</v>
      </c>
      <c r="P43" s="11">
        <f t="shared" si="2"/>
        <v>132.02771093444429</v>
      </c>
      <c r="R43" s="11">
        <f t="shared" si="15"/>
        <v>132.02771093444429</v>
      </c>
      <c r="S43" s="11">
        <f t="shared" si="16"/>
        <v>132.02771093444429</v>
      </c>
      <c r="T43" s="11">
        <f t="shared" si="10"/>
        <v>132.02771093444429</v>
      </c>
      <c r="U43" s="11">
        <f t="shared" si="11"/>
        <v>132.02771093444429</v>
      </c>
    </row>
    <row r="44" spans="1:21" x14ac:dyDescent="0.25">
      <c r="A44" s="7">
        <v>40</v>
      </c>
      <c r="B44" s="7">
        <v>40</v>
      </c>
      <c r="C44" s="14" t="s">
        <v>74</v>
      </c>
      <c r="D44" s="10">
        <v>28551.4</v>
      </c>
      <c r="E44" s="11">
        <f t="shared" si="13"/>
        <v>22841.120000000003</v>
      </c>
      <c r="F44" s="11">
        <f t="shared" si="5"/>
        <v>92.850081300813017</v>
      </c>
      <c r="G44" s="11">
        <f t="shared" si="6"/>
        <v>121.16935609756098</v>
      </c>
      <c r="H44" s="11">
        <f t="shared" si="7"/>
        <v>115.41265105691059</v>
      </c>
      <c r="I44" s="11">
        <f t="shared" si="8"/>
        <v>121.16935609756098</v>
      </c>
      <c r="J44" s="11">
        <f t="shared" si="12"/>
        <v>115.41265105691059</v>
      </c>
      <c r="M44" s="1" t="str">
        <f t="shared" si="14"/>
        <v>40 Калужская область</v>
      </c>
      <c r="N44" s="343">
        <v>15279</v>
      </c>
      <c r="O44" s="12">
        <f t="shared" si="9"/>
        <v>93.16463414634147</v>
      </c>
      <c r="P44" s="11">
        <f t="shared" si="2"/>
        <v>132.02771093444429</v>
      </c>
      <c r="R44" s="11">
        <f t="shared" si="15"/>
        <v>132.02771093444429</v>
      </c>
      <c r="S44" s="11">
        <f t="shared" si="16"/>
        <v>132.02771093444429</v>
      </c>
      <c r="T44" s="11">
        <f t="shared" si="10"/>
        <v>132.02771093444429</v>
      </c>
      <c r="U44" s="11">
        <f t="shared" si="11"/>
        <v>132.02771093444429</v>
      </c>
    </row>
    <row r="45" spans="1:21" x14ac:dyDescent="0.25">
      <c r="A45" s="7">
        <v>41</v>
      </c>
      <c r="B45" s="7">
        <v>41</v>
      </c>
      <c r="C45" s="9" t="s">
        <v>127</v>
      </c>
      <c r="D45" s="10">
        <v>60439.199999999997</v>
      </c>
      <c r="E45" s="11">
        <f t="shared" si="13"/>
        <v>48351.360000000001</v>
      </c>
      <c r="F45" s="11">
        <f t="shared" si="5"/>
        <v>196.55024390243904</v>
      </c>
      <c r="G45" s="11">
        <f t="shared" si="6"/>
        <v>256.49806829268294</v>
      </c>
      <c r="H45" s="11">
        <f t="shared" si="7"/>
        <v>244.31195317073175</v>
      </c>
      <c r="I45" s="11">
        <f t="shared" si="8"/>
        <v>240.99022682926829</v>
      </c>
      <c r="J45" s="11">
        <f t="shared" si="12"/>
        <v>230.04473902439025</v>
      </c>
      <c r="M45" s="1" t="str">
        <f t="shared" si="14"/>
        <v>41 Камчатский край</v>
      </c>
      <c r="N45" s="343">
        <v>15279</v>
      </c>
      <c r="O45" s="12">
        <f t="shared" si="9"/>
        <v>93.16463414634147</v>
      </c>
      <c r="P45" s="11">
        <f t="shared" si="2"/>
        <v>132.02771093444429</v>
      </c>
      <c r="R45" s="11">
        <f t="shared" si="15"/>
        <v>256.49806829268294</v>
      </c>
      <c r="S45" s="11">
        <f t="shared" si="16"/>
        <v>244.31195317073175</v>
      </c>
      <c r="T45" s="11">
        <f t="shared" si="10"/>
        <v>240.99022682926829</v>
      </c>
      <c r="U45" s="11">
        <f t="shared" si="11"/>
        <v>230.04473902439025</v>
      </c>
    </row>
    <row r="46" spans="1:21" x14ac:dyDescent="0.25">
      <c r="A46" s="7">
        <v>42</v>
      </c>
      <c r="B46" s="7">
        <v>42</v>
      </c>
      <c r="C46" s="9" t="s">
        <v>135</v>
      </c>
      <c r="D46" s="10">
        <v>24248.400000000001</v>
      </c>
      <c r="E46" s="11">
        <f t="shared" si="13"/>
        <v>19398.72</v>
      </c>
      <c r="F46" s="11">
        <f t="shared" si="5"/>
        <v>78.856585365853661</v>
      </c>
      <c r="G46" s="11">
        <f t="shared" si="6"/>
        <v>102.90784390243903</v>
      </c>
      <c r="H46" s="11">
        <f t="shared" si="7"/>
        <v>98.018735609756106</v>
      </c>
      <c r="I46" s="11">
        <f t="shared" si="8"/>
        <v>102.90784390243903</v>
      </c>
      <c r="J46" s="11">
        <f t="shared" si="12"/>
        <v>98.018735609756106</v>
      </c>
      <c r="M46" s="1" t="str">
        <f t="shared" si="14"/>
        <v>42 Кемеровская область - Кузбасс</v>
      </c>
      <c r="N46" s="344">
        <v>19863</v>
      </c>
      <c r="O46" s="12">
        <f t="shared" si="9"/>
        <v>121.11585365853658</v>
      </c>
      <c r="P46" s="11">
        <f t="shared" si="2"/>
        <v>171.63861655153264</v>
      </c>
      <c r="R46" s="11">
        <f t="shared" si="15"/>
        <v>171.63861655153264</v>
      </c>
      <c r="S46" s="11">
        <f t="shared" si="16"/>
        <v>171.63861655153264</v>
      </c>
      <c r="T46" s="11">
        <f t="shared" si="10"/>
        <v>171.63861655153264</v>
      </c>
      <c r="U46" s="11">
        <f t="shared" si="11"/>
        <v>171.63861655153264</v>
      </c>
    </row>
    <row r="47" spans="1:21" x14ac:dyDescent="0.25">
      <c r="A47" s="7">
        <v>43</v>
      </c>
      <c r="B47" s="8" t="s">
        <v>175</v>
      </c>
      <c r="C47" s="9" t="s">
        <v>105</v>
      </c>
      <c r="D47" s="10">
        <v>24919.599999999999</v>
      </c>
      <c r="E47" s="11">
        <f t="shared" si="13"/>
        <v>19935.68</v>
      </c>
      <c r="F47" s="11">
        <f t="shared" si="5"/>
        <v>81.039349593495942</v>
      </c>
      <c r="G47" s="11">
        <f t="shared" si="6"/>
        <v>105.7563512195122</v>
      </c>
      <c r="H47" s="11">
        <f t="shared" si="7"/>
        <v>100.73191154471546</v>
      </c>
      <c r="I47" s="11">
        <f t="shared" si="8"/>
        <v>105.7563512195122</v>
      </c>
      <c r="J47" s="11">
        <f t="shared" si="12"/>
        <v>100.73191154471546</v>
      </c>
      <c r="M47" s="1" t="str">
        <f t="shared" si="14"/>
        <v>43 Кировская область</v>
      </c>
      <c r="N47" s="343">
        <v>15279</v>
      </c>
      <c r="O47" s="12">
        <f t="shared" si="9"/>
        <v>93.16463414634147</v>
      </c>
      <c r="P47" s="11">
        <f t="shared" si="2"/>
        <v>132.02771093444429</v>
      </c>
      <c r="R47" s="11">
        <f t="shared" si="15"/>
        <v>132.02771093444429</v>
      </c>
      <c r="S47" s="11">
        <f t="shared" si="16"/>
        <v>132.02771093444429</v>
      </c>
      <c r="T47" s="11">
        <f t="shared" si="10"/>
        <v>132.02771093444429</v>
      </c>
      <c r="U47" s="11">
        <f t="shared" si="11"/>
        <v>132.02771093444429</v>
      </c>
    </row>
    <row r="48" spans="1:21" x14ac:dyDescent="0.25">
      <c r="A48" s="7">
        <v>44</v>
      </c>
      <c r="B48" s="7">
        <v>44</v>
      </c>
      <c r="C48" s="14" t="s">
        <v>75</v>
      </c>
      <c r="D48" s="10">
        <v>24460.400000000001</v>
      </c>
      <c r="E48" s="11">
        <f t="shared" si="13"/>
        <v>19568.320000000003</v>
      </c>
      <c r="F48" s="11">
        <f t="shared" si="5"/>
        <v>79.546016260162617</v>
      </c>
      <c r="G48" s="11">
        <f t="shared" si="6"/>
        <v>103.80755121951221</v>
      </c>
      <c r="H48" s="11">
        <f t="shared" si="7"/>
        <v>98.875698211382144</v>
      </c>
      <c r="I48" s="11">
        <f t="shared" si="8"/>
        <v>103.80755121951221</v>
      </c>
      <c r="J48" s="11">
        <f t="shared" si="12"/>
        <v>98.875698211382144</v>
      </c>
      <c r="M48" s="1" t="str">
        <f t="shared" si="14"/>
        <v>44 Костромская область</v>
      </c>
      <c r="N48" s="343">
        <v>15279</v>
      </c>
      <c r="O48" s="12">
        <f t="shared" si="9"/>
        <v>93.16463414634147</v>
      </c>
      <c r="P48" s="11">
        <f t="shared" si="2"/>
        <v>132.02771093444429</v>
      </c>
      <c r="R48" s="11">
        <f t="shared" si="15"/>
        <v>132.02771093444429</v>
      </c>
      <c r="S48" s="11">
        <f t="shared" si="16"/>
        <v>132.02771093444429</v>
      </c>
      <c r="T48" s="11">
        <f t="shared" si="10"/>
        <v>132.02771093444429</v>
      </c>
      <c r="U48" s="11">
        <f t="shared" si="11"/>
        <v>132.02771093444429</v>
      </c>
    </row>
    <row r="49" spans="1:21" x14ac:dyDescent="0.25">
      <c r="A49" s="7">
        <v>45</v>
      </c>
      <c r="B49" s="8" t="s">
        <v>176</v>
      </c>
      <c r="C49" s="9" t="s">
        <v>112</v>
      </c>
      <c r="D49" s="15">
        <v>29528.9</v>
      </c>
      <c r="E49" s="11">
        <f t="shared" si="13"/>
        <v>23623.120000000003</v>
      </c>
      <c r="F49" s="11">
        <f t="shared" si="5"/>
        <v>96.028943089430911</v>
      </c>
      <c r="G49" s="11">
        <f t="shared" si="6"/>
        <v>125.31777073170733</v>
      </c>
      <c r="H49" s="11">
        <f t="shared" si="7"/>
        <v>119.36397626016263</v>
      </c>
      <c r="I49" s="11">
        <f t="shared" si="8"/>
        <v>124.88812439024392</v>
      </c>
      <c r="J49" s="11">
        <f t="shared" si="12"/>
        <v>118.96870162601628</v>
      </c>
      <c r="M49" s="1" t="str">
        <f t="shared" si="14"/>
        <v>45 Курганская область</v>
      </c>
      <c r="N49" s="343">
        <v>15279</v>
      </c>
      <c r="O49" s="12">
        <f t="shared" si="9"/>
        <v>93.16463414634147</v>
      </c>
      <c r="P49" s="11">
        <f t="shared" si="2"/>
        <v>132.02771093444429</v>
      </c>
      <c r="R49" s="11">
        <f t="shared" si="15"/>
        <v>132.02771093444429</v>
      </c>
      <c r="S49" s="11">
        <f t="shared" si="16"/>
        <v>132.02771093444429</v>
      </c>
      <c r="T49" s="11">
        <f t="shared" si="10"/>
        <v>132.02771093444429</v>
      </c>
      <c r="U49" s="11">
        <f t="shared" si="11"/>
        <v>132.02771093444429</v>
      </c>
    </row>
    <row r="50" spans="1:21" x14ac:dyDescent="0.25">
      <c r="A50" s="7">
        <v>46</v>
      </c>
      <c r="B50" s="7">
        <v>46</v>
      </c>
      <c r="C50" s="14" t="s">
        <v>76</v>
      </c>
      <c r="D50" s="10">
        <v>23966.6</v>
      </c>
      <c r="E50" s="11">
        <f t="shared" si="13"/>
        <v>19173.28</v>
      </c>
      <c r="F50" s="11">
        <f t="shared" si="5"/>
        <v>77.940162601626014</v>
      </c>
      <c r="G50" s="11">
        <f t="shared" si="6"/>
        <v>101.71191219512194</v>
      </c>
      <c r="H50" s="11">
        <f t="shared" si="7"/>
        <v>96.879622113821142</v>
      </c>
      <c r="I50" s="11">
        <f t="shared" si="8"/>
        <v>101.71191219512194</v>
      </c>
      <c r="J50" s="11">
        <f t="shared" si="12"/>
        <v>96.879622113821142</v>
      </c>
      <c r="M50" s="1" t="str">
        <f t="shared" si="14"/>
        <v>46 Курская область</v>
      </c>
      <c r="N50" s="343">
        <v>15279</v>
      </c>
      <c r="O50" s="12">
        <f t="shared" si="9"/>
        <v>93.16463414634147</v>
      </c>
      <c r="P50" s="11">
        <f t="shared" si="2"/>
        <v>132.02771093444429</v>
      </c>
      <c r="R50" s="11">
        <f t="shared" si="15"/>
        <v>132.02771093444429</v>
      </c>
      <c r="S50" s="11">
        <f t="shared" si="16"/>
        <v>132.02771093444429</v>
      </c>
      <c r="T50" s="11">
        <f t="shared" si="10"/>
        <v>132.02771093444429</v>
      </c>
      <c r="U50" s="11">
        <f t="shared" si="11"/>
        <v>132.02771093444429</v>
      </c>
    </row>
    <row r="51" spans="1:21" x14ac:dyDescent="0.25">
      <c r="A51" s="7">
        <v>47</v>
      </c>
      <c r="B51" s="7">
        <v>47</v>
      </c>
      <c r="C51" s="9" t="s">
        <v>90</v>
      </c>
      <c r="D51" s="10">
        <v>34421.699999999997</v>
      </c>
      <c r="E51" s="11">
        <f t="shared" si="13"/>
        <v>27537.360000000001</v>
      </c>
      <c r="F51" s="11">
        <f t="shared" si="5"/>
        <v>111.94048780487805</v>
      </c>
      <c r="G51" s="11">
        <f t="shared" si="6"/>
        <v>146.08233658536585</v>
      </c>
      <c r="H51" s="11">
        <f t="shared" si="7"/>
        <v>139.14202634146343</v>
      </c>
      <c r="I51" s="11">
        <f t="shared" si="8"/>
        <v>143.26595853658534</v>
      </c>
      <c r="J51" s="11">
        <f t="shared" si="12"/>
        <v>136.55095853658537</v>
      </c>
      <c r="M51" s="1" t="str">
        <f t="shared" si="14"/>
        <v>47 Ленинградская область</v>
      </c>
      <c r="N51" s="343">
        <v>15950</v>
      </c>
      <c r="O51" s="12">
        <f t="shared" si="9"/>
        <v>97.256097560975604</v>
      </c>
      <c r="P51" s="11">
        <f t="shared" si="2"/>
        <v>137.82590414322837</v>
      </c>
      <c r="R51" s="11">
        <f t="shared" si="15"/>
        <v>146.08233658536585</v>
      </c>
      <c r="S51" s="11">
        <f t="shared" si="16"/>
        <v>139.14202634146343</v>
      </c>
      <c r="T51" s="11">
        <f t="shared" si="10"/>
        <v>143.26595853658534</v>
      </c>
      <c r="U51" s="11">
        <f t="shared" si="11"/>
        <v>137.82590414322837</v>
      </c>
    </row>
    <row r="52" spans="1:21" x14ac:dyDescent="0.25">
      <c r="A52" s="7">
        <v>48</v>
      </c>
      <c r="B52" s="7">
        <v>48</v>
      </c>
      <c r="C52" s="14" t="s">
        <v>77</v>
      </c>
      <c r="D52" s="10">
        <v>22075.5</v>
      </c>
      <c r="E52" s="11">
        <f t="shared" si="13"/>
        <v>17660.400000000001</v>
      </c>
      <c r="F52" s="11">
        <f t="shared" si="5"/>
        <v>71.79024390243903</v>
      </c>
      <c r="G52" s="11">
        <f t="shared" si="6"/>
        <v>93.686268292682925</v>
      </c>
      <c r="H52" s="11">
        <f t="shared" si="7"/>
        <v>89.235273170731716</v>
      </c>
      <c r="I52" s="11">
        <f t="shared" si="8"/>
        <v>93.686268292682925</v>
      </c>
      <c r="J52" s="11">
        <f t="shared" si="12"/>
        <v>89.235273170731716</v>
      </c>
      <c r="M52" s="1" t="str">
        <f t="shared" si="14"/>
        <v>48 Липецкая область</v>
      </c>
      <c r="N52" s="343">
        <v>15279</v>
      </c>
      <c r="O52" s="12">
        <f t="shared" si="9"/>
        <v>93.16463414634147</v>
      </c>
      <c r="P52" s="11">
        <f t="shared" si="2"/>
        <v>132.02771093444429</v>
      </c>
      <c r="R52" s="11">
        <f t="shared" si="15"/>
        <v>132.02771093444429</v>
      </c>
      <c r="S52" s="11">
        <f t="shared" si="16"/>
        <v>132.02771093444429</v>
      </c>
      <c r="T52" s="11">
        <f t="shared" si="10"/>
        <v>132.02771093444429</v>
      </c>
      <c r="U52" s="11">
        <f t="shared" si="11"/>
        <v>132.02771093444429</v>
      </c>
    </row>
    <row r="53" spans="1:21" x14ac:dyDescent="0.25">
      <c r="A53" s="7">
        <v>49</v>
      </c>
      <c r="B53" s="7">
        <v>49</v>
      </c>
      <c r="C53" s="9" t="s">
        <v>131</v>
      </c>
      <c r="D53" s="10">
        <v>51151.6</v>
      </c>
      <c r="E53" s="11">
        <f t="shared" si="13"/>
        <v>40921.279999999999</v>
      </c>
      <c r="F53" s="11">
        <f t="shared" si="5"/>
        <v>166.34666666666666</v>
      </c>
      <c r="G53" s="11">
        <f t="shared" si="6"/>
        <v>217.08239999999998</v>
      </c>
      <c r="H53" s="11">
        <f t="shared" si="7"/>
        <v>206.76890666666668</v>
      </c>
      <c r="I53" s="11">
        <f t="shared" si="8"/>
        <v>206.10509512195119</v>
      </c>
      <c r="J53" s="11">
        <f t="shared" si="12"/>
        <v>196.66978617886178</v>
      </c>
      <c r="M53" s="1" t="str">
        <f t="shared" si="14"/>
        <v>49 Магаданская область</v>
      </c>
      <c r="N53" s="343">
        <v>15279</v>
      </c>
      <c r="O53" s="12">
        <f t="shared" si="9"/>
        <v>93.16463414634147</v>
      </c>
      <c r="P53" s="11">
        <f t="shared" si="2"/>
        <v>132.02771093444429</v>
      </c>
      <c r="R53" s="11">
        <f t="shared" si="15"/>
        <v>217.08239999999998</v>
      </c>
      <c r="S53" s="11">
        <f t="shared" si="16"/>
        <v>206.76890666666668</v>
      </c>
      <c r="T53" s="11">
        <f t="shared" si="10"/>
        <v>206.10509512195119</v>
      </c>
      <c r="U53" s="11">
        <f t="shared" si="11"/>
        <v>196.66978617886178</v>
      </c>
    </row>
    <row r="54" spans="1:21" x14ac:dyDescent="0.25">
      <c r="A54" s="7">
        <v>50</v>
      </c>
      <c r="B54" s="19">
        <v>50</v>
      </c>
      <c r="C54" s="14" t="s">
        <v>134</v>
      </c>
      <c r="D54" s="10">
        <v>46857.599999999999</v>
      </c>
      <c r="E54" s="11">
        <f t="shared" si="13"/>
        <v>37486.080000000002</v>
      </c>
      <c r="F54" s="11">
        <f t="shared" si="5"/>
        <v>152.38243902439024</v>
      </c>
      <c r="G54" s="11">
        <f t="shared" si="6"/>
        <v>198.85908292682925</v>
      </c>
      <c r="H54" s="11">
        <f t="shared" si="7"/>
        <v>189.41137170731707</v>
      </c>
      <c r="I54" s="11">
        <f t="shared" si="8"/>
        <v>189.97641219512195</v>
      </c>
      <c r="J54" s="11">
        <f t="shared" si="12"/>
        <v>181.23931463414635</v>
      </c>
      <c r="M54" s="1" t="str">
        <f t="shared" si="14"/>
        <v>50 Московская область</v>
      </c>
      <c r="N54" s="343">
        <v>17930</v>
      </c>
      <c r="O54" s="12">
        <f t="shared" si="9"/>
        <v>109.32926829268293</v>
      </c>
      <c r="P54" s="11">
        <f t="shared" si="2"/>
        <v>154.93532672652572</v>
      </c>
      <c r="R54" s="11">
        <f t="shared" si="15"/>
        <v>198.85908292682925</v>
      </c>
      <c r="S54" s="11">
        <f t="shared" si="16"/>
        <v>189.41137170731707</v>
      </c>
      <c r="T54" s="11">
        <f t="shared" si="10"/>
        <v>189.97641219512195</v>
      </c>
      <c r="U54" s="11">
        <f t="shared" si="11"/>
        <v>181.23931463414635</v>
      </c>
    </row>
    <row r="55" spans="1:21" x14ac:dyDescent="0.25">
      <c r="A55" s="7">
        <v>51</v>
      </c>
      <c r="B55" s="7">
        <v>51</v>
      </c>
      <c r="C55" s="9" t="s">
        <v>91</v>
      </c>
      <c r="D55" s="10">
        <v>43178.6</v>
      </c>
      <c r="E55" s="11">
        <f t="shared" si="13"/>
        <v>34542.879999999997</v>
      </c>
      <c r="F55" s="11">
        <f t="shared" si="5"/>
        <v>140.41821138211381</v>
      </c>
      <c r="G55" s="11">
        <f t="shared" si="6"/>
        <v>183.24576585365853</v>
      </c>
      <c r="H55" s="11">
        <f t="shared" si="7"/>
        <v>174.53983674796748</v>
      </c>
      <c r="I55" s="11">
        <f t="shared" si="8"/>
        <v>176.15772926829266</v>
      </c>
      <c r="J55" s="11">
        <f t="shared" si="12"/>
        <v>168.0188430894309</v>
      </c>
      <c r="M55" s="1" t="str">
        <f t="shared" si="14"/>
        <v>51 Мурманская область</v>
      </c>
      <c r="N55" s="343">
        <v>15279</v>
      </c>
      <c r="O55" s="12">
        <f t="shared" si="9"/>
        <v>93.16463414634147</v>
      </c>
      <c r="P55" s="11">
        <f t="shared" si="2"/>
        <v>132.02771093444429</v>
      </c>
      <c r="R55" s="11">
        <f t="shared" si="15"/>
        <v>183.24576585365853</v>
      </c>
      <c r="S55" s="11">
        <f t="shared" si="16"/>
        <v>174.53983674796748</v>
      </c>
      <c r="T55" s="11">
        <f t="shared" si="10"/>
        <v>176.15772926829266</v>
      </c>
      <c r="U55" s="11">
        <f t="shared" si="11"/>
        <v>168.0188430894309</v>
      </c>
    </row>
    <row r="56" spans="1:21" x14ac:dyDescent="0.25">
      <c r="A56" s="7">
        <v>52</v>
      </c>
      <c r="B56" s="8" t="s">
        <v>177</v>
      </c>
      <c r="C56" s="9" t="s">
        <v>106</v>
      </c>
      <c r="D56" s="10">
        <v>22612.2</v>
      </c>
      <c r="E56" s="11">
        <f t="shared" si="13"/>
        <v>18089.760000000002</v>
      </c>
      <c r="F56" s="11">
        <f t="shared" si="5"/>
        <v>73.535609756097571</v>
      </c>
      <c r="G56" s="11">
        <f t="shared" si="6"/>
        <v>95.96397073170732</v>
      </c>
      <c r="H56" s="11">
        <f t="shared" si="7"/>
        <v>91.404762926829292</v>
      </c>
      <c r="I56" s="11">
        <f t="shared" si="8"/>
        <v>95.96397073170732</v>
      </c>
      <c r="J56" s="11">
        <f t="shared" si="12"/>
        <v>91.404762926829292</v>
      </c>
      <c r="M56" s="1" t="str">
        <f t="shared" si="14"/>
        <v>52 Нижегородская область</v>
      </c>
      <c r="N56" s="343">
        <v>15279</v>
      </c>
      <c r="O56" s="12">
        <f t="shared" si="9"/>
        <v>93.16463414634147</v>
      </c>
      <c r="P56" s="11">
        <f t="shared" si="2"/>
        <v>132.02771093444429</v>
      </c>
      <c r="R56" s="11">
        <f t="shared" si="15"/>
        <v>132.02771093444429</v>
      </c>
      <c r="S56" s="11">
        <f t="shared" si="16"/>
        <v>132.02771093444429</v>
      </c>
      <c r="T56" s="11">
        <f t="shared" si="10"/>
        <v>132.02771093444429</v>
      </c>
      <c r="U56" s="11">
        <f t="shared" si="11"/>
        <v>132.02771093444429</v>
      </c>
    </row>
    <row r="57" spans="1:21" x14ac:dyDescent="0.25">
      <c r="A57" s="7">
        <v>53</v>
      </c>
      <c r="B57" s="7">
        <v>53</v>
      </c>
      <c r="C57" s="9" t="s">
        <v>92</v>
      </c>
      <c r="D57" s="10">
        <v>15563.8</v>
      </c>
      <c r="E57" s="11">
        <f t="shared" si="13"/>
        <v>12451.04</v>
      </c>
      <c r="F57" s="11">
        <f t="shared" si="5"/>
        <v>50.613983739837401</v>
      </c>
      <c r="G57" s="11">
        <f t="shared" si="6"/>
        <v>66.051248780487811</v>
      </c>
      <c r="H57" s="11">
        <f t="shared" si="7"/>
        <v>62.913181788617898</v>
      </c>
      <c r="I57" s="11">
        <f t="shared" si="8"/>
        <v>66.051248780487811</v>
      </c>
      <c r="J57" s="11">
        <f t="shared" si="12"/>
        <v>62.913181788617898</v>
      </c>
      <c r="M57" s="1" t="str">
        <f t="shared" si="14"/>
        <v>53 Новгородская область</v>
      </c>
      <c r="N57" s="343">
        <v>15279</v>
      </c>
      <c r="O57" s="12">
        <f t="shared" si="9"/>
        <v>93.16463414634147</v>
      </c>
      <c r="P57" s="11">
        <f t="shared" si="2"/>
        <v>132.02771093444429</v>
      </c>
      <c r="R57" s="11">
        <f t="shared" si="15"/>
        <v>132.02771093444429</v>
      </c>
      <c r="S57" s="11">
        <f t="shared" si="16"/>
        <v>132.02771093444429</v>
      </c>
      <c r="T57" s="11">
        <f t="shared" si="10"/>
        <v>132.02771093444429</v>
      </c>
      <c r="U57" s="11">
        <f t="shared" si="11"/>
        <v>132.02771093444429</v>
      </c>
    </row>
    <row r="58" spans="1:21" x14ac:dyDescent="0.25">
      <c r="A58" s="7">
        <v>54</v>
      </c>
      <c r="B58" s="7">
        <v>54</v>
      </c>
      <c r="C58" s="9" t="s">
        <v>121</v>
      </c>
      <c r="D58" s="10">
        <v>30104.3</v>
      </c>
      <c r="E58" s="11">
        <f t="shared" si="13"/>
        <v>24083.440000000002</v>
      </c>
      <c r="F58" s="11">
        <f t="shared" si="5"/>
        <v>97.900162601626022</v>
      </c>
      <c r="G58" s="11">
        <f t="shared" si="6"/>
        <v>127.75971219512195</v>
      </c>
      <c r="H58" s="11">
        <f t="shared" si="7"/>
        <v>121.68990211382116</v>
      </c>
      <c r="I58" s="11">
        <f t="shared" si="8"/>
        <v>127.04938292682927</v>
      </c>
      <c r="J58" s="11">
        <f t="shared" si="12"/>
        <v>121.03639918699187</v>
      </c>
      <c r="M58" s="1" t="str">
        <f t="shared" si="14"/>
        <v>54 Новосибирская область</v>
      </c>
      <c r="N58" s="343">
        <v>19098</v>
      </c>
      <c r="O58" s="12">
        <f t="shared" si="9"/>
        <v>116.45121951219512</v>
      </c>
      <c r="P58" s="11">
        <f t="shared" si="2"/>
        <v>165.02815782616776</v>
      </c>
      <c r="R58" s="11">
        <f t="shared" si="15"/>
        <v>165.02815782616776</v>
      </c>
      <c r="S58" s="11">
        <f t="shared" si="16"/>
        <v>165.02815782616776</v>
      </c>
      <c r="T58" s="11">
        <f t="shared" si="10"/>
        <v>165.02815782616776</v>
      </c>
      <c r="U58" s="11">
        <f t="shared" si="11"/>
        <v>165.02815782616776</v>
      </c>
    </row>
    <row r="59" spans="1:21" x14ac:dyDescent="0.25">
      <c r="A59" s="7">
        <v>55</v>
      </c>
      <c r="B59" s="7">
        <v>55</v>
      </c>
      <c r="C59" s="9" t="s">
        <v>122</v>
      </c>
      <c r="D59" s="10">
        <v>21582.5</v>
      </c>
      <c r="E59" s="11">
        <f t="shared" si="13"/>
        <v>17266</v>
      </c>
      <c r="F59" s="11">
        <f t="shared" si="5"/>
        <v>70.1869918699187</v>
      </c>
      <c r="G59" s="11">
        <f t="shared" si="6"/>
        <v>91.594024390243902</v>
      </c>
      <c r="H59" s="11">
        <f t="shared" si="7"/>
        <v>87.242430894308953</v>
      </c>
      <c r="I59" s="11">
        <f t="shared" si="8"/>
        <v>91.594024390243902</v>
      </c>
      <c r="J59" s="11">
        <f t="shared" si="12"/>
        <v>87.242430894308953</v>
      </c>
      <c r="M59" s="1" t="str">
        <f t="shared" si="14"/>
        <v>55 Омская область</v>
      </c>
      <c r="N59" s="343">
        <v>15279</v>
      </c>
      <c r="O59" s="12">
        <f t="shared" si="9"/>
        <v>93.16463414634147</v>
      </c>
      <c r="P59" s="11">
        <f t="shared" si="2"/>
        <v>132.02771093444429</v>
      </c>
      <c r="R59" s="11">
        <f t="shared" si="15"/>
        <v>132.02771093444429</v>
      </c>
      <c r="S59" s="11">
        <f t="shared" si="16"/>
        <v>132.02771093444429</v>
      </c>
      <c r="T59" s="11">
        <f t="shared" si="10"/>
        <v>132.02771093444429</v>
      </c>
      <c r="U59" s="11">
        <f t="shared" si="11"/>
        <v>132.02771093444429</v>
      </c>
    </row>
    <row r="60" spans="1:21" x14ac:dyDescent="0.25">
      <c r="A60" s="7">
        <v>56</v>
      </c>
      <c r="B60" s="8" t="s">
        <v>178</v>
      </c>
      <c r="C60" s="9" t="s">
        <v>107</v>
      </c>
      <c r="D60" s="10">
        <v>23822.1</v>
      </c>
      <c r="E60" s="11">
        <f t="shared" si="13"/>
        <v>19057.68</v>
      </c>
      <c r="F60" s="11">
        <f t="shared" si="5"/>
        <v>77.470243902439023</v>
      </c>
      <c r="G60" s="11">
        <f t="shared" si="6"/>
        <v>101.09866829268292</v>
      </c>
      <c r="H60" s="11">
        <f t="shared" si="7"/>
        <v>96.295513170731709</v>
      </c>
      <c r="I60" s="11">
        <f t="shared" si="8"/>
        <v>101.09866829268292</v>
      </c>
      <c r="J60" s="11">
        <f t="shared" si="12"/>
        <v>96.295513170731709</v>
      </c>
      <c r="M60" s="1" t="str">
        <f t="shared" si="14"/>
        <v>56 Оренбургская область</v>
      </c>
      <c r="N60" s="343">
        <v>15279</v>
      </c>
      <c r="O60" s="12">
        <f t="shared" si="9"/>
        <v>93.16463414634147</v>
      </c>
      <c r="P60" s="11">
        <f t="shared" si="2"/>
        <v>132.02771093444429</v>
      </c>
      <c r="R60" s="11">
        <f t="shared" si="15"/>
        <v>132.02771093444429</v>
      </c>
      <c r="S60" s="11">
        <f t="shared" si="16"/>
        <v>132.02771093444429</v>
      </c>
      <c r="T60" s="11">
        <f t="shared" si="10"/>
        <v>132.02771093444429</v>
      </c>
      <c r="U60" s="11">
        <f t="shared" si="11"/>
        <v>132.02771093444429</v>
      </c>
    </row>
    <row r="61" spans="1:21" x14ac:dyDescent="0.25">
      <c r="A61" s="7">
        <v>57</v>
      </c>
      <c r="B61" s="7">
        <v>57</v>
      </c>
      <c r="C61" s="14" t="s">
        <v>78</v>
      </c>
      <c r="D61" s="10">
        <v>23986.5</v>
      </c>
      <c r="E61" s="11">
        <f t="shared" si="13"/>
        <v>19189.2</v>
      </c>
      <c r="F61" s="11">
        <f t="shared" si="5"/>
        <v>78.004878048780498</v>
      </c>
      <c r="G61" s="11">
        <f t="shared" si="6"/>
        <v>101.79636585365854</v>
      </c>
      <c r="H61" s="11">
        <f t="shared" si="7"/>
        <v>96.960063414634163</v>
      </c>
      <c r="I61" s="11">
        <f t="shared" si="8"/>
        <v>101.79636585365854</v>
      </c>
      <c r="J61" s="11">
        <f t="shared" si="12"/>
        <v>96.960063414634163</v>
      </c>
      <c r="M61" s="1" t="str">
        <f t="shared" si="14"/>
        <v>57 Орловская область</v>
      </c>
      <c r="N61" s="343">
        <v>15279</v>
      </c>
      <c r="O61" s="12">
        <f t="shared" si="9"/>
        <v>93.16463414634147</v>
      </c>
      <c r="P61" s="11">
        <f t="shared" si="2"/>
        <v>132.02771093444429</v>
      </c>
      <c r="R61" s="11">
        <f t="shared" si="15"/>
        <v>132.02771093444429</v>
      </c>
      <c r="S61" s="11">
        <f t="shared" si="16"/>
        <v>132.02771093444429</v>
      </c>
      <c r="T61" s="11">
        <f t="shared" si="10"/>
        <v>132.02771093444429</v>
      </c>
      <c r="U61" s="11">
        <f t="shared" si="11"/>
        <v>132.02771093444429</v>
      </c>
    </row>
    <row r="62" spans="1:21" x14ac:dyDescent="0.25">
      <c r="A62" s="7">
        <v>58</v>
      </c>
      <c r="B62" s="8" t="s">
        <v>179</v>
      </c>
      <c r="C62" s="9" t="s">
        <v>108</v>
      </c>
      <c r="D62" s="10">
        <v>18330</v>
      </c>
      <c r="E62" s="11">
        <f t="shared" si="13"/>
        <v>14664</v>
      </c>
      <c r="F62" s="11">
        <f t="shared" si="5"/>
        <v>59.609756097560975</v>
      </c>
      <c r="G62" s="11">
        <f t="shared" si="6"/>
        <v>77.790731707317065</v>
      </c>
      <c r="H62" s="11">
        <f t="shared" si="7"/>
        <v>74.094926829268303</v>
      </c>
      <c r="I62" s="11">
        <f t="shared" si="8"/>
        <v>77.790731707317065</v>
      </c>
      <c r="J62" s="11">
        <f t="shared" si="12"/>
        <v>74.094926829268303</v>
      </c>
      <c r="M62" s="1" t="str">
        <f t="shared" si="14"/>
        <v>58 Пензенская область</v>
      </c>
      <c r="N62" s="343">
        <v>15279</v>
      </c>
      <c r="O62" s="12">
        <f t="shared" si="9"/>
        <v>93.16463414634147</v>
      </c>
      <c r="P62" s="11">
        <f t="shared" si="2"/>
        <v>132.02771093444429</v>
      </c>
      <c r="R62" s="11">
        <f t="shared" si="15"/>
        <v>132.02771093444429</v>
      </c>
      <c r="S62" s="11">
        <f t="shared" si="16"/>
        <v>132.02771093444429</v>
      </c>
      <c r="T62" s="11">
        <f t="shared" si="10"/>
        <v>132.02771093444429</v>
      </c>
      <c r="U62" s="11">
        <f t="shared" si="11"/>
        <v>132.02771093444429</v>
      </c>
    </row>
    <row r="63" spans="1:21" x14ac:dyDescent="0.25">
      <c r="A63" s="7">
        <v>59</v>
      </c>
      <c r="B63" s="8" t="s">
        <v>180</v>
      </c>
      <c r="C63" s="9" t="s">
        <v>104</v>
      </c>
      <c r="D63" s="10">
        <v>24012</v>
      </c>
      <c r="E63" s="11">
        <f t="shared" si="13"/>
        <v>19209.600000000002</v>
      </c>
      <c r="F63" s="11">
        <f t="shared" si="5"/>
        <v>78.087804878048786</v>
      </c>
      <c r="G63" s="11">
        <f t="shared" si="6"/>
        <v>101.90458536585366</v>
      </c>
      <c r="H63" s="11">
        <f t="shared" si="7"/>
        <v>97.063141463414652</v>
      </c>
      <c r="I63" s="11">
        <f t="shared" si="8"/>
        <v>101.90458536585366</v>
      </c>
      <c r="J63" s="11">
        <f t="shared" si="12"/>
        <v>97.063141463414652</v>
      </c>
      <c r="M63" s="1" t="str">
        <f t="shared" si="14"/>
        <v>59 Пермский край</v>
      </c>
      <c r="N63" s="343">
        <v>15279</v>
      </c>
      <c r="O63" s="12">
        <f t="shared" si="9"/>
        <v>93.16463414634147</v>
      </c>
      <c r="P63" s="11">
        <f t="shared" si="2"/>
        <v>132.02771093444429</v>
      </c>
      <c r="R63" s="11">
        <f t="shared" si="15"/>
        <v>132.02771093444429</v>
      </c>
      <c r="S63" s="11">
        <f t="shared" si="16"/>
        <v>132.02771093444429</v>
      </c>
      <c r="T63" s="11">
        <f t="shared" si="10"/>
        <v>132.02771093444429</v>
      </c>
      <c r="U63" s="11">
        <f t="shared" si="11"/>
        <v>132.02771093444429</v>
      </c>
    </row>
    <row r="64" spans="1:21" x14ac:dyDescent="0.25">
      <c r="A64" s="7">
        <v>60</v>
      </c>
      <c r="B64" s="7">
        <v>60</v>
      </c>
      <c r="C64" s="9" t="s">
        <v>93</v>
      </c>
      <c r="D64" s="10">
        <v>24690.1</v>
      </c>
      <c r="E64" s="11">
        <f t="shared" si="13"/>
        <v>19752.080000000002</v>
      </c>
      <c r="F64" s="11">
        <f t="shared" si="5"/>
        <v>80.293008130081304</v>
      </c>
      <c r="G64" s="11">
        <f t="shared" si="6"/>
        <v>104.7823756097561</v>
      </c>
      <c r="H64" s="11">
        <f t="shared" si="7"/>
        <v>99.804209105691072</v>
      </c>
      <c r="I64" s="11">
        <f t="shared" si="8"/>
        <v>104.7823756097561</v>
      </c>
      <c r="J64" s="11">
        <f t="shared" si="12"/>
        <v>99.804209105691072</v>
      </c>
      <c r="M64" s="1" t="str">
        <f t="shared" si="14"/>
        <v>60 Псковская область</v>
      </c>
      <c r="N64" s="343">
        <v>15279</v>
      </c>
      <c r="O64" s="12">
        <f t="shared" si="9"/>
        <v>93.16463414634147</v>
      </c>
      <c r="P64" s="11">
        <f t="shared" si="2"/>
        <v>132.02771093444429</v>
      </c>
      <c r="R64" s="11">
        <f t="shared" si="15"/>
        <v>132.02771093444429</v>
      </c>
      <c r="S64" s="11">
        <f t="shared" si="16"/>
        <v>132.02771093444429</v>
      </c>
      <c r="T64" s="11">
        <f t="shared" si="10"/>
        <v>132.02771093444429</v>
      </c>
      <c r="U64" s="11">
        <f t="shared" si="11"/>
        <v>132.02771093444429</v>
      </c>
    </row>
    <row r="65" spans="1:21" x14ac:dyDescent="0.25">
      <c r="A65" s="7">
        <v>61</v>
      </c>
      <c r="B65" s="7">
        <v>61</v>
      </c>
      <c r="C65" s="9" t="s">
        <v>99</v>
      </c>
      <c r="D65" s="10">
        <v>26779.7</v>
      </c>
      <c r="E65" s="11">
        <f t="shared" si="13"/>
        <v>21423.760000000002</v>
      </c>
      <c r="F65" s="11">
        <f t="shared" si="5"/>
        <v>87.08845528455285</v>
      </c>
      <c r="G65" s="11">
        <f t="shared" si="6"/>
        <v>113.65043414634147</v>
      </c>
      <c r="H65" s="11">
        <f t="shared" si="7"/>
        <v>108.25094991869921</v>
      </c>
      <c r="I65" s="11">
        <f t="shared" si="8"/>
        <v>113.65043414634147</v>
      </c>
      <c r="J65" s="11">
        <f t="shared" si="12"/>
        <v>108.25094991869921</v>
      </c>
      <c r="M65" s="1" t="str">
        <f t="shared" si="14"/>
        <v>61 Ростовская область</v>
      </c>
      <c r="N65" s="344">
        <v>18335</v>
      </c>
      <c r="O65" s="12">
        <f t="shared" si="9"/>
        <v>111.79878048780488</v>
      </c>
      <c r="P65" s="11">
        <f t="shared" si="2"/>
        <v>158.43498134583652</v>
      </c>
      <c r="R65" s="11">
        <f t="shared" si="15"/>
        <v>158.43498134583652</v>
      </c>
      <c r="S65" s="11">
        <f t="shared" si="16"/>
        <v>158.43498134583652</v>
      </c>
      <c r="T65" s="11">
        <f t="shared" si="10"/>
        <v>158.43498134583652</v>
      </c>
      <c r="U65" s="11">
        <f t="shared" si="11"/>
        <v>158.43498134583652</v>
      </c>
    </row>
    <row r="66" spans="1:21" x14ac:dyDescent="0.25">
      <c r="A66" s="7">
        <v>62</v>
      </c>
      <c r="B66" s="7">
        <v>62</v>
      </c>
      <c r="C66" s="14" t="s">
        <v>79</v>
      </c>
      <c r="D66" s="10">
        <v>26567.1</v>
      </c>
      <c r="E66" s="11">
        <f t="shared" si="13"/>
        <v>21253.68</v>
      </c>
      <c r="F66" s="11">
        <f t="shared" si="5"/>
        <v>86.397073170731701</v>
      </c>
      <c r="G66" s="11">
        <f t="shared" si="6"/>
        <v>112.74818048780486</v>
      </c>
      <c r="H66" s="11">
        <f t="shared" si="7"/>
        <v>107.39156195121951</v>
      </c>
      <c r="I66" s="11">
        <f t="shared" si="8"/>
        <v>112.74818048780486</v>
      </c>
      <c r="J66" s="11">
        <f t="shared" si="12"/>
        <v>107.39156195121951</v>
      </c>
      <c r="M66" s="1" t="str">
        <f t="shared" si="14"/>
        <v>62 Рязанская область</v>
      </c>
      <c r="N66" s="344">
        <v>15279</v>
      </c>
      <c r="O66" s="12">
        <f t="shared" si="9"/>
        <v>93.16463414634147</v>
      </c>
      <c r="P66" s="11">
        <f t="shared" si="2"/>
        <v>132.02771093444429</v>
      </c>
      <c r="R66" s="11">
        <f t="shared" si="15"/>
        <v>132.02771093444429</v>
      </c>
      <c r="S66" s="11">
        <f t="shared" si="16"/>
        <v>132.02771093444429</v>
      </c>
      <c r="T66" s="11">
        <f t="shared" si="10"/>
        <v>132.02771093444429</v>
      </c>
      <c r="U66" s="11">
        <f t="shared" si="11"/>
        <v>132.02771093444429</v>
      </c>
    </row>
    <row r="67" spans="1:21" x14ac:dyDescent="0.25">
      <c r="A67" s="7">
        <v>63</v>
      </c>
      <c r="B67" s="8" t="s">
        <v>181</v>
      </c>
      <c r="C67" s="9" t="s">
        <v>109</v>
      </c>
      <c r="D67" s="10">
        <v>24685.1</v>
      </c>
      <c r="E67" s="11">
        <f t="shared" si="13"/>
        <v>19748.080000000002</v>
      </c>
      <c r="F67" s="11">
        <f t="shared" si="5"/>
        <v>80.276747967479679</v>
      </c>
      <c r="G67" s="11">
        <f t="shared" si="6"/>
        <v>104.76115609756097</v>
      </c>
      <c r="H67" s="11">
        <f t="shared" si="7"/>
        <v>99.783997723577244</v>
      </c>
      <c r="I67" s="11">
        <f t="shared" si="8"/>
        <v>104.76115609756097</v>
      </c>
      <c r="J67" s="11">
        <f t="shared" si="12"/>
        <v>99.783997723577244</v>
      </c>
      <c r="M67" s="1" t="str">
        <f t="shared" si="14"/>
        <v>63 Самарская область</v>
      </c>
      <c r="N67" s="343">
        <v>15279</v>
      </c>
      <c r="O67" s="12">
        <f t="shared" si="9"/>
        <v>93.16463414634147</v>
      </c>
      <c r="P67" s="11">
        <f t="shared" si="2"/>
        <v>132.02771093444429</v>
      </c>
      <c r="R67" s="11">
        <f t="shared" si="15"/>
        <v>132.02771093444429</v>
      </c>
      <c r="S67" s="11">
        <f t="shared" si="16"/>
        <v>132.02771093444429</v>
      </c>
      <c r="T67" s="11">
        <f t="shared" si="10"/>
        <v>132.02771093444429</v>
      </c>
      <c r="U67" s="11">
        <f t="shared" si="11"/>
        <v>132.02771093444429</v>
      </c>
    </row>
    <row r="68" spans="1:21" x14ac:dyDescent="0.25">
      <c r="A68" s="7">
        <v>64</v>
      </c>
      <c r="B68" s="8" t="s">
        <v>182</v>
      </c>
      <c r="C68" s="9" t="s">
        <v>110</v>
      </c>
      <c r="D68" s="10">
        <v>24140.400000000001</v>
      </c>
      <c r="E68" s="11">
        <f t="shared" si="13"/>
        <v>19312.320000000003</v>
      </c>
      <c r="F68" s="11">
        <f t="shared" si="5"/>
        <v>78.505365853658546</v>
      </c>
      <c r="G68" s="11">
        <f t="shared" si="6"/>
        <v>102.4495024390244</v>
      </c>
      <c r="H68" s="11">
        <f t="shared" si="7"/>
        <v>97.582169756097585</v>
      </c>
      <c r="I68" s="11">
        <f t="shared" si="8"/>
        <v>102.4495024390244</v>
      </c>
      <c r="J68" s="11">
        <f t="shared" si="12"/>
        <v>97.582169756097585</v>
      </c>
      <c r="M68" s="1" t="str">
        <f t="shared" si="14"/>
        <v>64 Саратовская область</v>
      </c>
      <c r="N68" s="344">
        <v>15279</v>
      </c>
      <c r="O68" s="12">
        <f t="shared" si="9"/>
        <v>93.16463414634147</v>
      </c>
      <c r="P68" s="11">
        <f t="shared" si="2"/>
        <v>132.02771093444429</v>
      </c>
      <c r="R68" s="11">
        <f t="shared" si="15"/>
        <v>132.02771093444429</v>
      </c>
      <c r="S68" s="11">
        <f t="shared" si="16"/>
        <v>132.02771093444429</v>
      </c>
      <c r="T68" s="11">
        <f t="shared" si="10"/>
        <v>132.02771093444429</v>
      </c>
      <c r="U68" s="11">
        <f t="shared" si="11"/>
        <v>132.02771093444429</v>
      </c>
    </row>
    <row r="69" spans="1:21" x14ac:dyDescent="0.25">
      <c r="A69" s="7">
        <v>65</v>
      </c>
      <c r="B69" s="7">
        <v>65</v>
      </c>
      <c r="C69" s="9" t="s">
        <v>132</v>
      </c>
      <c r="D69" s="10">
        <v>51403.4</v>
      </c>
      <c r="E69" s="11">
        <f t="shared" ref="E69:E89" si="17">D69*0.8</f>
        <v>41122.720000000001</v>
      </c>
      <c r="F69" s="11">
        <f t="shared" si="5"/>
        <v>167.16552845528454</v>
      </c>
      <c r="G69" s="11">
        <f t="shared" si="6"/>
        <v>218.15101463414632</v>
      </c>
      <c r="H69" s="11">
        <f t="shared" si="7"/>
        <v>207.7867518699187</v>
      </c>
      <c r="I69" s="11">
        <f t="shared" si="8"/>
        <v>207.05088048780487</v>
      </c>
      <c r="J69" s="11">
        <f t="shared" si="12"/>
        <v>197.57462845528454</v>
      </c>
      <c r="M69" s="1" t="str">
        <f t="shared" ref="M69:M89" si="18">CONCATENATE(B69," ",C69)</f>
        <v>65 Сахалинская область</v>
      </c>
      <c r="N69" s="344">
        <v>15279</v>
      </c>
      <c r="O69" s="12">
        <f t="shared" si="9"/>
        <v>93.16463414634147</v>
      </c>
      <c r="P69" s="11">
        <f t="shared" ref="P69:P89" si="19">((O69/29.3*28*100%/12)+O69)*1.305+O69*164*24/730*3/12/164</f>
        <v>132.02771093444429</v>
      </c>
      <c r="R69" s="11">
        <f t="shared" ref="R69:R89" si="20">IF(P69&gt;G69,P69,G69)</f>
        <v>218.15101463414632</v>
      </c>
      <c r="S69" s="11">
        <f t="shared" ref="S69:S89" si="21">IF(P69&gt;H69,P69,H69)</f>
        <v>207.7867518699187</v>
      </c>
      <c r="T69" s="11">
        <f t="shared" si="10"/>
        <v>207.05088048780487</v>
      </c>
      <c r="U69" s="11">
        <f t="shared" si="11"/>
        <v>197.57462845528454</v>
      </c>
    </row>
    <row r="70" spans="1:21" x14ac:dyDescent="0.25">
      <c r="A70" s="7">
        <v>66</v>
      </c>
      <c r="B70" s="8" t="s">
        <v>183</v>
      </c>
      <c r="C70" s="9" t="s">
        <v>113</v>
      </c>
      <c r="D70" s="10">
        <v>33381.9</v>
      </c>
      <c r="E70" s="11">
        <f t="shared" si="17"/>
        <v>26705.520000000004</v>
      </c>
      <c r="F70" s="11">
        <f t="shared" ref="F70:F89" si="22">E70/246</f>
        <v>108.55902439024392</v>
      </c>
      <c r="G70" s="11">
        <f t="shared" ref="G70:G89" si="23">F70*1.305</f>
        <v>141.66952682926831</v>
      </c>
      <c r="H70" s="11">
        <f t="shared" ref="H70:H89" si="24">F70*1.243</f>
        <v>134.9388673170732</v>
      </c>
      <c r="I70" s="11">
        <f t="shared" ref="I70:I89" si="25">IF(F70&gt;$O$5,$O$5*1.305+(F70-$O$5)*1.155,F70*1.305)</f>
        <v>139.36036829268295</v>
      </c>
      <c r="J70" s="11">
        <f t="shared" si="12"/>
        <v>132.81444146341465</v>
      </c>
      <c r="M70" s="1" t="str">
        <f t="shared" si="18"/>
        <v>66 Свердловская область</v>
      </c>
      <c r="N70" s="343">
        <v>17570</v>
      </c>
      <c r="O70" s="12">
        <f t="shared" ref="O70:O89" si="26">N70/164</f>
        <v>107.13414634146342</v>
      </c>
      <c r="P70" s="11">
        <f t="shared" si="19"/>
        <v>151.82452262047167</v>
      </c>
      <c r="R70" s="11">
        <f t="shared" si="20"/>
        <v>151.82452262047167</v>
      </c>
      <c r="S70" s="11">
        <f t="shared" si="21"/>
        <v>151.82452262047167</v>
      </c>
      <c r="T70" s="11">
        <f t="shared" ref="T70:T89" si="27">IF(P70&gt;I70,P70,I70)</f>
        <v>151.82452262047167</v>
      </c>
      <c r="U70" s="11">
        <f t="shared" ref="U70:U89" si="28">IF(P70&gt;J70,P70,J70)</f>
        <v>151.82452262047167</v>
      </c>
    </row>
    <row r="71" spans="1:21" x14ac:dyDescent="0.25">
      <c r="A71" s="7">
        <v>67</v>
      </c>
      <c r="B71" s="7">
        <v>67</v>
      </c>
      <c r="C71" s="14" t="s">
        <v>80</v>
      </c>
      <c r="D71" s="10">
        <v>23068.7</v>
      </c>
      <c r="E71" s="11">
        <f t="shared" si="17"/>
        <v>18454.960000000003</v>
      </c>
      <c r="F71" s="11">
        <f t="shared" si="22"/>
        <v>75.020162601626026</v>
      </c>
      <c r="G71" s="11">
        <f t="shared" si="23"/>
        <v>97.90131219512196</v>
      </c>
      <c r="H71" s="11">
        <f t="shared" si="24"/>
        <v>93.250062113821159</v>
      </c>
      <c r="I71" s="11">
        <f t="shared" si="25"/>
        <v>97.90131219512196</v>
      </c>
      <c r="J71" s="11">
        <f t="shared" ref="J71:J89" si="29">IF(F71&gt;$O$5,$O$5*1.243+(F71-$O$5)*1.105,F71*1.243)</f>
        <v>93.250062113821159</v>
      </c>
      <c r="M71" s="1" t="str">
        <f t="shared" si="18"/>
        <v>67 Смоленская область</v>
      </c>
      <c r="N71" s="343">
        <v>15279</v>
      </c>
      <c r="O71" s="12">
        <f t="shared" si="26"/>
        <v>93.16463414634147</v>
      </c>
      <c r="P71" s="11">
        <f t="shared" si="19"/>
        <v>132.02771093444429</v>
      </c>
      <c r="R71" s="11">
        <f t="shared" si="20"/>
        <v>132.02771093444429</v>
      </c>
      <c r="S71" s="11">
        <f t="shared" si="21"/>
        <v>132.02771093444429</v>
      </c>
      <c r="T71" s="11">
        <f t="shared" si="27"/>
        <v>132.02771093444429</v>
      </c>
      <c r="U71" s="11">
        <f t="shared" si="28"/>
        <v>132.02771093444429</v>
      </c>
    </row>
    <row r="72" spans="1:21" x14ac:dyDescent="0.25">
      <c r="A72" s="7">
        <v>68</v>
      </c>
      <c r="B72" s="7">
        <v>68</v>
      </c>
      <c r="C72" s="9" t="s">
        <v>81</v>
      </c>
      <c r="D72" s="10">
        <v>20863.599999999999</v>
      </c>
      <c r="E72" s="11">
        <f t="shared" si="17"/>
        <v>16690.88</v>
      </c>
      <c r="F72" s="11">
        <f t="shared" si="22"/>
        <v>67.84910569105692</v>
      </c>
      <c r="G72" s="11">
        <f t="shared" si="23"/>
        <v>88.543082926829271</v>
      </c>
      <c r="H72" s="11">
        <f t="shared" si="24"/>
        <v>84.336438373983754</v>
      </c>
      <c r="I72" s="11">
        <f t="shared" si="25"/>
        <v>88.543082926829271</v>
      </c>
      <c r="J72" s="11">
        <f t="shared" si="29"/>
        <v>84.336438373983754</v>
      </c>
      <c r="M72" s="1" t="str">
        <f t="shared" si="18"/>
        <v>68 Тамбовская область</v>
      </c>
      <c r="N72" s="343">
        <v>15279</v>
      </c>
      <c r="O72" s="12">
        <f t="shared" si="26"/>
        <v>93.16463414634147</v>
      </c>
      <c r="P72" s="11">
        <f t="shared" si="19"/>
        <v>132.02771093444429</v>
      </c>
      <c r="R72" s="11">
        <f t="shared" si="20"/>
        <v>132.02771093444429</v>
      </c>
      <c r="S72" s="11">
        <f t="shared" si="21"/>
        <v>132.02771093444429</v>
      </c>
      <c r="T72" s="11">
        <f t="shared" si="27"/>
        <v>132.02771093444429</v>
      </c>
      <c r="U72" s="11">
        <f t="shared" si="28"/>
        <v>132.02771093444429</v>
      </c>
    </row>
    <row r="73" spans="1:21" x14ac:dyDescent="0.25">
      <c r="A73" s="7">
        <v>69</v>
      </c>
      <c r="B73" s="7">
        <v>69</v>
      </c>
      <c r="C73" s="9" t="s">
        <v>82</v>
      </c>
      <c r="D73" s="10">
        <v>31369</v>
      </c>
      <c r="E73" s="11">
        <f t="shared" si="17"/>
        <v>25095.200000000001</v>
      </c>
      <c r="F73" s="11">
        <f t="shared" si="22"/>
        <v>102.0130081300813</v>
      </c>
      <c r="G73" s="11">
        <f t="shared" si="23"/>
        <v>133.1269756097561</v>
      </c>
      <c r="H73" s="11">
        <f t="shared" si="24"/>
        <v>126.80216910569106</v>
      </c>
      <c r="I73" s="11">
        <f t="shared" si="25"/>
        <v>131.79971951219511</v>
      </c>
      <c r="J73" s="11">
        <f t="shared" si="29"/>
        <v>125.58109349593497</v>
      </c>
      <c r="M73" s="1" t="str">
        <f t="shared" si="18"/>
        <v>69 Тверская область</v>
      </c>
      <c r="N73" s="343">
        <v>15279</v>
      </c>
      <c r="O73" s="12">
        <f t="shared" si="26"/>
        <v>93.16463414634147</v>
      </c>
      <c r="P73" s="11">
        <f t="shared" si="19"/>
        <v>132.02771093444429</v>
      </c>
      <c r="R73" s="11">
        <f t="shared" si="20"/>
        <v>133.1269756097561</v>
      </c>
      <c r="S73" s="11">
        <f t="shared" si="21"/>
        <v>132.02771093444429</v>
      </c>
      <c r="T73" s="11">
        <f t="shared" si="27"/>
        <v>132.02771093444429</v>
      </c>
      <c r="U73" s="11">
        <f t="shared" si="28"/>
        <v>132.02771093444429</v>
      </c>
    </row>
    <row r="74" spans="1:21" x14ac:dyDescent="0.25">
      <c r="A74" s="7">
        <v>70</v>
      </c>
      <c r="B74" s="7">
        <v>70</v>
      </c>
      <c r="C74" s="9" t="s">
        <v>123</v>
      </c>
      <c r="D74" s="10">
        <v>34710.6</v>
      </c>
      <c r="E74" s="11">
        <f t="shared" si="17"/>
        <v>27768.48</v>
      </c>
      <c r="F74" s="11">
        <f t="shared" si="22"/>
        <v>112.88</v>
      </c>
      <c r="G74" s="11">
        <f t="shared" si="23"/>
        <v>147.30839999999998</v>
      </c>
      <c r="H74" s="11">
        <f t="shared" si="24"/>
        <v>140.30984000000001</v>
      </c>
      <c r="I74" s="11">
        <f t="shared" si="25"/>
        <v>144.3510951219512</v>
      </c>
      <c r="J74" s="11">
        <f t="shared" si="29"/>
        <v>137.58911951219511</v>
      </c>
      <c r="M74" s="1" t="str">
        <f t="shared" si="18"/>
        <v>70 Томская область</v>
      </c>
      <c r="N74" s="343">
        <v>15279</v>
      </c>
      <c r="O74" s="12">
        <f t="shared" si="26"/>
        <v>93.16463414634147</v>
      </c>
      <c r="P74" s="11">
        <f t="shared" si="19"/>
        <v>132.02771093444429</v>
      </c>
      <c r="R74" s="11">
        <f t="shared" si="20"/>
        <v>147.30839999999998</v>
      </c>
      <c r="S74" s="11">
        <f t="shared" si="21"/>
        <v>140.30984000000001</v>
      </c>
      <c r="T74" s="11">
        <f t="shared" si="27"/>
        <v>144.3510951219512</v>
      </c>
      <c r="U74" s="11">
        <f t="shared" si="28"/>
        <v>137.58911951219511</v>
      </c>
    </row>
    <row r="75" spans="1:21" x14ac:dyDescent="0.25">
      <c r="A75" s="7">
        <v>71</v>
      </c>
      <c r="B75" s="7">
        <v>71</v>
      </c>
      <c r="C75" s="9" t="s">
        <v>83</v>
      </c>
      <c r="D75" s="10">
        <v>30760.3</v>
      </c>
      <c r="E75" s="11">
        <f t="shared" si="17"/>
        <v>24608.240000000002</v>
      </c>
      <c r="F75" s="11">
        <f t="shared" si="22"/>
        <v>100.03349593495936</v>
      </c>
      <c r="G75" s="11">
        <f t="shared" si="23"/>
        <v>130.54371219512197</v>
      </c>
      <c r="H75" s="11">
        <f t="shared" si="24"/>
        <v>124.3416354471545</v>
      </c>
      <c r="I75" s="11">
        <f t="shared" si="25"/>
        <v>129.51338292682928</v>
      </c>
      <c r="J75" s="11">
        <f t="shared" si="29"/>
        <v>123.39373252032522</v>
      </c>
      <c r="M75" s="1" t="str">
        <f t="shared" si="18"/>
        <v>71 Тульская область</v>
      </c>
      <c r="N75" s="344">
        <v>15279</v>
      </c>
      <c r="O75" s="12">
        <f t="shared" si="26"/>
        <v>93.16463414634147</v>
      </c>
      <c r="P75" s="11">
        <f t="shared" si="19"/>
        <v>132.02771093444429</v>
      </c>
      <c r="R75" s="11">
        <f t="shared" si="20"/>
        <v>132.02771093444429</v>
      </c>
      <c r="S75" s="11">
        <f t="shared" si="21"/>
        <v>132.02771093444429</v>
      </c>
      <c r="T75" s="11">
        <f t="shared" si="27"/>
        <v>132.02771093444429</v>
      </c>
      <c r="U75" s="11">
        <f t="shared" si="28"/>
        <v>132.02771093444429</v>
      </c>
    </row>
    <row r="76" spans="1:21" x14ac:dyDescent="0.25">
      <c r="A76" s="7">
        <v>72</v>
      </c>
      <c r="B76" s="8" t="s">
        <v>184</v>
      </c>
      <c r="C76" s="9" t="s">
        <v>154</v>
      </c>
      <c r="D76" s="10">
        <v>40708.6</v>
      </c>
      <c r="E76" s="11">
        <f t="shared" si="17"/>
        <v>32566.880000000001</v>
      </c>
      <c r="F76" s="11">
        <f t="shared" si="22"/>
        <v>132.38569105691056</v>
      </c>
      <c r="G76" s="11">
        <f t="shared" si="23"/>
        <v>172.76332682926827</v>
      </c>
      <c r="H76" s="11">
        <f t="shared" si="24"/>
        <v>164.55541398373984</v>
      </c>
      <c r="I76" s="11">
        <f t="shared" si="25"/>
        <v>166.88016829268292</v>
      </c>
      <c r="J76" s="11">
        <f t="shared" si="29"/>
        <v>159.14290813008131</v>
      </c>
      <c r="M76" s="1" t="str">
        <f t="shared" si="18"/>
        <v xml:space="preserve">72 Тюменская область </v>
      </c>
      <c r="N76" s="343">
        <v>15279</v>
      </c>
      <c r="O76" s="12">
        <f t="shared" si="26"/>
        <v>93.16463414634147</v>
      </c>
      <c r="P76" s="11">
        <f t="shared" si="19"/>
        <v>132.02771093444429</v>
      </c>
      <c r="R76" s="11">
        <f t="shared" si="20"/>
        <v>172.76332682926827</v>
      </c>
      <c r="S76" s="11">
        <f t="shared" si="21"/>
        <v>164.55541398373984</v>
      </c>
      <c r="T76" s="11">
        <f t="shared" si="27"/>
        <v>166.88016829268292</v>
      </c>
      <c r="U76" s="11">
        <f t="shared" si="28"/>
        <v>159.14290813008131</v>
      </c>
    </row>
    <row r="77" spans="1:21" x14ac:dyDescent="0.25">
      <c r="A77" s="7">
        <v>73</v>
      </c>
      <c r="B77" s="8" t="s">
        <v>185</v>
      </c>
      <c r="C77" s="20" t="s">
        <v>111</v>
      </c>
      <c r="D77" s="10">
        <v>26208.5</v>
      </c>
      <c r="E77" s="11">
        <f t="shared" si="17"/>
        <v>20966.800000000003</v>
      </c>
      <c r="F77" s="11">
        <f t="shared" si="22"/>
        <v>85.230894308943107</v>
      </c>
      <c r="G77" s="11">
        <f t="shared" si="23"/>
        <v>111.22631707317075</v>
      </c>
      <c r="H77" s="11">
        <f t="shared" si="24"/>
        <v>105.94200162601629</v>
      </c>
      <c r="I77" s="11">
        <f t="shared" si="25"/>
        <v>111.22631707317075</v>
      </c>
      <c r="J77" s="11">
        <f t="shared" si="29"/>
        <v>105.94200162601629</v>
      </c>
      <c r="M77" s="1" t="str">
        <f t="shared" si="18"/>
        <v>73 Ульяновская область</v>
      </c>
      <c r="N77" s="344">
        <v>15700</v>
      </c>
      <c r="O77" s="12">
        <f t="shared" si="26"/>
        <v>95.731707317073173</v>
      </c>
      <c r="P77" s="11">
        <f t="shared" si="19"/>
        <v>135.66562351402416</v>
      </c>
      <c r="R77" s="11">
        <f t="shared" si="20"/>
        <v>135.66562351402416</v>
      </c>
      <c r="S77" s="11">
        <f t="shared" si="21"/>
        <v>135.66562351402416</v>
      </c>
      <c r="T77" s="11">
        <f t="shared" si="27"/>
        <v>135.66562351402416</v>
      </c>
      <c r="U77" s="11">
        <f t="shared" si="28"/>
        <v>135.66562351402416</v>
      </c>
    </row>
    <row r="78" spans="1:21" x14ac:dyDescent="0.25">
      <c r="A78" s="7">
        <v>74</v>
      </c>
      <c r="B78" s="8" t="s">
        <v>186</v>
      </c>
      <c r="C78" s="9" t="s">
        <v>114</v>
      </c>
      <c r="D78" s="10">
        <v>25984.799999999999</v>
      </c>
      <c r="E78" s="11">
        <f t="shared" si="17"/>
        <v>20787.84</v>
      </c>
      <c r="F78" s="11">
        <f t="shared" si="22"/>
        <v>84.503414634146338</v>
      </c>
      <c r="G78" s="11">
        <f t="shared" si="23"/>
        <v>110.27695609756097</v>
      </c>
      <c r="H78" s="11">
        <f t="shared" si="24"/>
        <v>105.0377443902439</v>
      </c>
      <c r="I78" s="11">
        <f t="shared" si="25"/>
        <v>110.27695609756097</v>
      </c>
      <c r="J78" s="11">
        <f t="shared" si="29"/>
        <v>105.0377443902439</v>
      </c>
      <c r="M78" s="1" t="str">
        <f t="shared" si="18"/>
        <v>74 Челябинская область</v>
      </c>
      <c r="N78" s="343">
        <v>15279</v>
      </c>
      <c r="O78" s="12">
        <f t="shared" si="26"/>
        <v>93.16463414634147</v>
      </c>
      <c r="P78" s="11">
        <f t="shared" si="19"/>
        <v>132.02771093444429</v>
      </c>
      <c r="R78" s="11">
        <f t="shared" si="20"/>
        <v>132.02771093444429</v>
      </c>
      <c r="S78" s="11">
        <f t="shared" si="21"/>
        <v>132.02771093444429</v>
      </c>
      <c r="T78" s="11">
        <f t="shared" si="27"/>
        <v>132.02771093444429</v>
      </c>
      <c r="U78" s="11">
        <f t="shared" si="28"/>
        <v>132.02771093444429</v>
      </c>
    </row>
    <row r="79" spans="1:21" x14ac:dyDescent="0.25">
      <c r="A79" s="7">
        <v>75</v>
      </c>
      <c r="B79" s="7">
        <v>75</v>
      </c>
      <c r="C79" s="9" t="s">
        <v>126</v>
      </c>
      <c r="D79" s="10">
        <v>23646.3</v>
      </c>
      <c r="E79" s="11">
        <f t="shared" si="17"/>
        <v>18917.04</v>
      </c>
      <c r="F79" s="11">
        <f t="shared" si="22"/>
        <v>76.898536585365861</v>
      </c>
      <c r="G79" s="11">
        <f t="shared" si="23"/>
        <v>100.35259024390244</v>
      </c>
      <c r="H79" s="11">
        <f t="shared" si="24"/>
        <v>95.584880975609778</v>
      </c>
      <c r="I79" s="11">
        <f t="shared" si="25"/>
        <v>100.35259024390244</v>
      </c>
      <c r="J79" s="11">
        <f t="shared" si="29"/>
        <v>95.584880975609778</v>
      </c>
      <c r="M79" s="1" t="str">
        <f t="shared" si="18"/>
        <v>75 Забайкальский край</v>
      </c>
      <c r="N79" s="343">
        <v>15279</v>
      </c>
      <c r="O79" s="12">
        <f t="shared" si="26"/>
        <v>93.16463414634147</v>
      </c>
      <c r="P79" s="11">
        <f t="shared" si="19"/>
        <v>132.02771093444429</v>
      </c>
      <c r="R79" s="11">
        <f t="shared" si="20"/>
        <v>132.02771093444429</v>
      </c>
      <c r="S79" s="11">
        <f t="shared" si="21"/>
        <v>132.02771093444429</v>
      </c>
      <c r="T79" s="11">
        <f t="shared" si="27"/>
        <v>132.02771093444429</v>
      </c>
      <c r="U79" s="11">
        <f t="shared" si="28"/>
        <v>132.02771093444429</v>
      </c>
    </row>
    <row r="80" spans="1:21" x14ac:dyDescent="0.25">
      <c r="A80" s="7">
        <v>76</v>
      </c>
      <c r="B80" s="7">
        <v>76</v>
      </c>
      <c r="C80" s="9" t="s">
        <v>84</v>
      </c>
      <c r="D80" s="10">
        <v>23807.8</v>
      </c>
      <c r="E80" s="11">
        <f t="shared" si="17"/>
        <v>19046.240000000002</v>
      </c>
      <c r="F80" s="11">
        <f t="shared" si="22"/>
        <v>77.423739837398386</v>
      </c>
      <c r="G80" s="11">
        <f t="shared" si="23"/>
        <v>101.03798048780489</v>
      </c>
      <c r="H80" s="11">
        <f t="shared" si="24"/>
        <v>96.237708617886199</v>
      </c>
      <c r="I80" s="11">
        <f t="shared" si="25"/>
        <v>101.03798048780489</v>
      </c>
      <c r="J80" s="11">
        <f t="shared" si="29"/>
        <v>96.237708617886199</v>
      </c>
      <c r="M80" s="1" t="str">
        <f t="shared" si="18"/>
        <v>76 Ярославская область</v>
      </c>
      <c r="N80" s="343">
        <v>15279</v>
      </c>
      <c r="O80" s="12">
        <f t="shared" si="26"/>
        <v>93.16463414634147</v>
      </c>
      <c r="P80" s="11">
        <f t="shared" si="19"/>
        <v>132.02771093444429</v>
      </c>
      <c r="R80" s="11">
        <f t="shared" si="20"/>
        <v>132.02771093444429</v>
      </c>
      <c r="S80" s="11">
        <f t="shared" si="21"/>
        <v>132.02771093444429</v>
      </c>
      <c r="T80" s="11">
        <f t="shared" si="27"/>
        <v>132.02771093444429</v>
      </c>
      <c r="U80" s="11">
        <f t="shared" si="28"/>
        <v>132.02771093444429</v>
      </c>
    </row>
    <row r="81" spans="1:21" x14ac:dyDescent="0.25">
      <c r="A81" s="7">
        <v>77</v>
      </c>
      <c r="B81" s="19">
        <v>77</v>
      </c>
      <c r="C81" s="9" t="s">
        <v>148</v>
      </c>
      <c r="D81" s="10">
        <v>48367.3</v>
      </c>
      <c r="E81" s="15">
        <f t="shared" si="17"/>
        <v>38693.840000000004</v>
      </c>
      <c r="F81" s="11">
        <f t="shared" si="22"/>
        <v>157.29203252032522</v>
      </c>
      <c r="G81" s="11">
        <f t="shared" si="23"/>
        <v>205.26610243902439</v>
      </c>
      <c r="H81" s="11">
        <f t="shared" si="24"/>
        <v>195.51399642276428</v>
      </c>
      <c r="I81" s="11">
        <f t="shared" si="25"/>
        <v>195.64699268292685</v>
      </c>
      <c r="J81" s="11">
        <f t="shared" si="29"/>
        <v>186.66441544715451</v>
      </c>
      <c r="M81" s="1" t="str">
        <f t="shared" si="18"/>
        <v xml:space="preserve">77 Город Москва </v>
      </c>
      <c r="N81" s="344">
        <v>23508</v>
      </c>
      <c r="O81" s="12">
        <f t="shared" si="26"/>
        <v>143.34146341463415</v>
      </c>
      <c r="P81" s="11">
        <f t="shared" si="19"/>
        <v>203.13550812532995</v>
      </c>
      <c r="R81" s="11">
        <f t="shared" si="20"/>
        <v>205.26610243902439</v>
      </c>
      <c r="S81" s="11">
        <f t="shared" si="21"/>
        <v>203.13550812532995</v>
      </c>
      <c r="T81" s="11">
        <f t="shared" si="27"/>
        <v>203.13550812532995</v>
      </c>
      <c r="U81" s="11">
        <f t="shared" si="28"/>
        <v>203.13550812532995</v>
      </c>
    </row>
    <row r="82" spans="1:21" x14ac:dyDescent="0.25">
      <c r="A82" s="7">
        <v>78</v>
      </c>
      <c r="B82" s="7">
        <v>78</v>
      </c>
      <c r="C82" s="9" t="s">
        <v>150</v>
      </c>
      <c r="D82" s="10">
        <v>34301.9</v>
      </c>
      <c r="E82" s="11">
        <f t="shared" si="17"/>
        <v>27441.520000000004</v>
      </c>
      <c r="F82" s="11">
        <f t="shared" si="22"/>
        <v>111.5508943089431</v>
      </c>
      <c r="G82" s="11">
        <f t="shared" si="23"/>
        <v>145.57391707317075</v>
      </c>
      <c r="H82" s="11">
        <f t="shared" si="24"/>
        <v>138.65776162601628</v>
      </c>
      <c r="I82" s="11">
        <f t="shared" si="25"/>
        <v>142.81597804878049</v>
      </c>
      <c r="J82" s="11">
        <f t="shared" si="29"/>
        <v>136.12045772357726</v>
      </c>
      <c r="M82" s="1" t="str">
        <f t="shared" si="18"/>
        <v xml:space="preserve">78 Город Санкт-Петербург </v>
      </c>
      <c r="N82" s="344">
        <v>21500</v>
      </c>
      <c r="O82" s="12">
        <f t="shared" si="26"/>
        <v>131.09756097560975</v>
      </c>
      <c r="P82" s="11">
        <f t="shared" si="19"/>
        <v>185.7841341115618</v>
      </c>
      <c r="R82" s="11">
        <f t="shared" si="20"/>
        <v>185.7841341115618</v>
      </c>
      <c r="S82" s="11">
        <f t="shared" si="21"/>
        <v>185.7841341115618</v>
      </c>
      <c r="T82" s="11">
        <f t="shared" si="27"/>
        <v>185.7841341115618</v>
      </c>
      <c r="U82" s="11">
        <f t="shared" si="28"/>
        <v>185.7841341115618</v>
      </c>
    </row>
    <row r="83" spans="1:21" x14ac:dyDescent="0.25">
      <c r="A83" s="7">
        <v>79</v>
      </c>
      <c r="B83" s="7">
        <v>79</v>
      </c>
      <c r="C83" s="9" t="s">
        <v>136</v>
      </c>
      <c r="D83" s="10">
        <v>37993.199999999997</v>
      </c>
      <c r="E83" s="11">
        <f t="shared" si="17"/>
        <v>30394.559999999998</v>
      </c>
      <c r="F83" s="11">
        <f t="shared" si="22"/>
        <v>123.5551219512195</v>
      </c>
      <c r="G83" s="11">
        <f t="shared" si="23"/>
        <v>161.23943414634144</v>
      </c>
      <c r="H83" s="11">
        <f t="shared" si="24"/>
        <v>153.57901658536585</v>
      </c>
      <c r="I83" s="11">
        <f t="shared" si="25"/>
        <v>156.68086097560973</v>
      </c>
      <c r="J83" s="11">
        <f t="shared" si="29"/>
        <v>149.38512926829267</v>
      </c>
      <c r="M83" s="1" t="str">
        <f t="shared" si="18"/>
        <v>79 Еврейская автономная область</v>
      </c>
      <c r="N83" s="343">
        <v>15279</v>
      </c>
      <c r="O83" s="12">
        <f t="shared" si="26"/>
        <v>93.16463414634147</v>
      </c>
      <c r="P83" s="11">
        <f t="shared" si="19"/>
        <v>132.02771093444429</v>
      </c>
      <c r="R83" s="11">
        <f t="shared" si="20"/>
        <v>161.23943414634144</v>
      </c>
      <c r="S83" s="11">
        <f t="shared" si="21"/>
        <v>153.57901658536585</v>
      </c>
      <c r="T83" s="11">
        <f t="shared" si="27"/>
        <v>156.68086097560973</v>
      </c>
      <c r="U83" s="11">
        <f t="shared" si="28"/>
        <v>149.38512926829267</v>
      </c>
    </row>
    <row r="84" spans="1:21" x14ac:dyDescent="0.25">
      <c r="A84" s="7">
        <v>80</v>
      </c>
      <c r="B84" s="7">
        <v>83</v>
      </c>
      <c r="C84" s="9" t="s">
        <v>149</v>
      </c>
      <c r="D84" s="10">
        <v>44032.4</v>
      </c>
      <c r="E84" s="11">
        <f t="shared" si="17"/>
        <v>35225.920000000006</v>
      </c>
      <c r="F84" s="11">
        <f t="shared" si="22"/>
        <v>143.1947967479675</v>
      </c>
      <c r="G84" s="11">
        <f t="shared" si="23"/>
        <v>186.86920975609758</v>
      </c>
      <c r="H84" s="11">
        <f t="shared" si="24"/>
        <v>177.99113235772361</v>
      </c>
      <c r="I84" s="11">
        <f t="shared" si="25"/>
        <v>179.36468536585369</v>
      </c>
      <c r="J84" s="11">
        <f t="shared" si="29"/>
        <v>171.0869699186992</v>
      </c>
      <c r="M84" s="1" t="str">
        <f t="shared" si="18"/>
        <v xml:space="preserve">83 Ненецкий автономный округ </v>
      </c>
      <c r="N84" s="343">
        <v>15279</v>
      </c>
      <c r="O84" s="12">
        <f t="shared" si="26"/>
        <v>93.16463414634147</v>
      </c>
      <c r="P84" s="11">
        <f t="shared" si="19"/>
        <v>132.02771093444429</v>
      </c>
      <c r="R84" s="11">
        <f t="shared" si="20"/>
        <v>186.86920975609758</v>
      </c>
      <c r="S84" s="11">
        <f t="shared" si="21"/>
        <v>177.99113235772361</v>
      </c>
      <c r="T84" s="11">
        <f t="shared" si="27"/>
        <v>179.36468536585369</v>
      </c>
      <c r="U84" s="11">
        <f t="shared" si="28"/>
        <v>171.0869699186992</v>
      </c>
    </row>
    <row r="85" spans="1:21" x14ac:dyDescent="0.25">
      <c r="A85" s="7">
        <v>81</v>
      </c>
      <c r="B85" s="8" t="s">
        <v>187</v>
      </c>
      <c r="C85" s="9" t="s">
        <v>152</v>
      </c>
      <c r="D85" s="10">
        <v>41283.9</v>
      </c>
      <c r="E85" s="11">
        <f t="shared" si="17"/>
        <v>33027.120000000003</v>
      </c>
      <c r="F85" s="11">
        <f t="shared" si="22"/>
        <v>134.25658536585368</v>
      </c>
      <c r="G85" s="11">
        <f t="shared" si="23"/>
        <v>175.20484390243905</v>
      </c>
      <c r="H85" s="11">
        <f t="shared" si="24"/>
        <v>166.88093560975614</v>
      </c>
      <c r="I85" s="11">
        <f t="shared" si="25"/>
        <v>169.04105121951221</v>
      </c>
      <c r="J85" s="11">
        <f t="shared" si="29"/>
        <v>161.21024634146346</v>
      </c>
      <c r="M85" s="1" t="str">
        <f t="shared" si="18"/>
        <v xml:space="preserve">86 Ханты-Мансийский автономный округ - Югра </v>
      </c>
      <c r="N85" s="343">
        <v>15279</v>
      </c>
      <c r="O85" s="12">
        <f t="shared" si="26"/>
        <v>93.16463414634147</v>
      </c>
      <c r="P85" s="11">
        <f t="shared" si="19"/>
        <v>132.02771093444429</v>
      </c>
      <c r="R85" s="11">
        <f t="shared" si="20"/>
        <v>175.20484390243905</v>
      </c>
      <c r="S85" s="11">
        <f t="shared" si="21"/>
        <v>166.88093560975614</v>
      </c>
      <c r="T85" s="11">
        <f t="shared" si="27"/>
        <v>169.04105121951221</v>
      </c>
      <c r="U85" s="11">
        <f t="shared" si="28"/>
        <v>161.21024634146346</v>
      </c>
    </row>
    <row r="86" spans="1:21" x14ac:dyDescent="0.25">
      <c r="A86" s="7">
        <v>82</v>
      </c>
      <c r="B86" s="7">
        <v>87</v>
      </c>
      <c r="C86" s="9" t="s">
        <v>137</v>
      </c>
      <c r="D86" s="10">
        <v>69337.8</v>
      </c>
      <c r="E86" s="11">
        <f t="shared" si="17"/>
        <v>55470.240000000005</v>
      </c>
      <c r="F86" s="11">
        <f t="shared" si="22"/>
        <v>225.48878048780489</v>
      </c>
      <c r="G86" s="11">
        <f t="shared" si="23"/>
        <v>294.26285853658538</v>
      </c>
      <c r="H86" s="11">
        <f t="shared" si="24"/>
        <v>280.28255414634151</v>
      </c>
      <c r="I86" s="11">
        <f t="shared" si="25"/>
        <v>274.41423658536587</v>
      </c>
      <c r="J86" s="11">
        <f t="shared" si="29"/>
        <v>262.02182195121952</v>
      </c>
      <c r="M86" s="1" t="str">
        <f t="shared" si="18"/>
        <v>87 Чукотский автономный округ</v>
      </c>
      <c r="N86" s="343">
        <v>15279</v>
      </c>
      <c r="O86" s="12">
        <f t="shared" si="26"/>
        <v>93.16463414634147</v>
      </c>
      <c r="P86" s="11">
        <f t="shared" si="19"/>
        <v>132.02771093444429</v>
      </c>
      <c r="R86" s="11">
        <f t="shared" si="20"/>
        <v>294.26285853658538</v>
      </c>
      <c r="S86" s="11">
        <f t="shared" si="21"/>
        <v>280.28255414634151</v>
      </c>
      <c r="T86" s="11">
        <f t="shared" si="27"/>
        <v>274.41423658536587</v>
      </c>
      <c r="U86" s="11">
        <f t="shared" si="28"/>
        <v>262.02182195121952</v>
      </c>
    </row>
    <row r="87" spans="1:21" x14ac:dyDescent="0.25">
      <c r="A87" s="7">
        <v>83</v>
      </c>
      <c r="B87" s="8" t="s">
        <v>188</v>
      </c>
      <c r="C87" s="9" t="s">
        <v>153</v>
      </c>
      <c r="D87" s="10">
        <v>43237.9</v>
      </c>
      <c r="E87" s="11">
        <f t="shared" si="17"/>
        <v>34590.32</v>
      </c>
      <c r="F87" s="11">
        <f t="shared" si="22"/>
        <v>140.61105691056912</v>
      </c>
      <c r="G87" s="11">
        <f t="shared" si="23"/>
        <v>183.49742926829268</v>
      </c>
      <c r="H87" s="11">
        <f t="shared" si="24"/>
        <v>174.77954373983744</v>
      </c>
      <c r="I87" s="11">
        <f t="shared" si="25"/>
        <v>176.38046585365854</v>
      </c>
      <c r="J87" s="11">
        <f t="shared" si="29"/>
        <v>168.23193739837399</v>
      </c>
      <c r="M87" s="1" t="str">
        <f t="shared" si="18"/>
        <v xml:space="preserve">89 Ямало-Ненецкий автономный округ </v>
      </c>
      <c r="N87" s="343">
        <v>15279</v>
      </c>
      <c r="O87" s="12">
        <f t="shared" si="26"/>
        <v>93.16463414634147</v>
      </c>
      <c r="P87" s="11">
        <f t="shared" si="19"/>
        <v>132.02771093444429</v>
      </c>
      <c r="R87" s="11">
        <f t="shared" si="20"/>
        <v>183.49742926829268</v>
      </c>
      <c r="S87" s="11">
        <f t="shared" si="21"/>
        <v>174.77954373983744</v>
      </c>
      <c r="T87" s="11">
        <f t="shared" si="27"/>
        <v>176.38046585365854</v>
      </c>
      <c r="U87" s="11">
        <f t="shared" si="28"/>
        <v>168.23193739837399</v>
      </c>
    </row>
    <row r="88" spans="1:21" x14ac:dyDescent="0.25">
      <c r="A88" s="7">
        <v>84</v>
      </c>
      <c r="B88" s="7">
        <v>91</v>
      </c>
      <c r="C88" s="9" t="s">
        <v>95</v>
      </c>
      <c r="D88" s="10">
        <v>27308.9</v>
      </c>
      <c r="E88" s="11">
        <f t="shared" si="17"/>
        <v>21847.120000000003</v>
      </c>
      <c r="F88" s="11">
        <f t="shared" si="22"/>
        <v>88.80943089430896</v>
      </c>
      <c r="G88" s="11">
        <f t="shared" si="23"/>
        <v>115.89630731707318</v>
      </c>
      <c r="H88" s="11">
        <f t="shared" si="24"/>
        <v>110.39012260162605</v>
      </c>
      <c r="I88" s="11">
        <f t="shared" si="25"/>
        <v>115.89630731707318</v>
      </c>
      <c r="J88" s="11">
        <f t="shared" si="29"/>
        <v>110.39012260162605</v>
      </c>
      <c r="M88" s="1" t="str">
        <f t="shared" si="18"/>
        <v>91 Республика Крым</v>
      </c>
      <c r="N88" s="343">
        <v>15279</v>
      </c>
      <c r="O88" s="12">
        <f t="shared" si="26"/>
        <v>93.16463414634147</v>
      </c>
      <c r="P88" s="11">
        <f t="shared" si="19"/>
        <v>132.02771093444429</v>
      </c>
      <c r="R88" s="11">
        <f t="shared" si="20"/>
        <v>132.02771093444429</v>
      </c>
      <c r="S88" s="11">
        <f t="shared" si="21"/>
        <v>132.02771093444429</v>
      </c>
      <c r="T88" s="11">
        <f t="shared" si="27"/>
        <v>132.02771093444429</v>
      </c>
      <c r="U88" s="11">
        <f t="shared" si="28"/>
        <v>132.02771093444429</v>
      </c>
    </row>
    <row r="89" spans="1:21" x14ac:dyDescent="0.25">
      <c r="A89" s="7">
        <v>85</v>
      </c>
      <c r="B89" s="7">
        <v>92</v>
      </c>
      <c r="C89" s="9" t="s">
        <v>138</v>
      </c>
      <c r="D89" s="10">
        <v>35012.800000000003</v>
      </c>
      <c r="E89" s="11">
        <f t="shared" si="17"/>
        <v>28010.240000000005</v>
      </c>
      <c r="F89" s="11">
        <f t="shared" si="22"/>
        <v>113.8627642276423</v>
      </c>
      <c r="G89" s="11">
        <f t="shared" si="23"/>
        <v>148.5909073170732</v>
      </c>
      <c r="H89" s="11">
        <f t="shared" si="24"/>
        <v>141.5314159349594</v>
      </c>
      <c r="I89" s="11">
        <f t="shared" si="25"/>
        <v>145.48618780487806</v>
      </c>
      <c r="J89" s="11">
        <f t="shared" si="29"/>
        <v>138.67507398373988</v>
      </c>
      <c r="M89" s="1" t="str">
        <f t="shared" si="18"/>
        <v>92 Город федерального значения Севастополь</v>
      </c>
      <c r="N89" s="343">
        <v>15279</v>
      </c>
      <c r="O89" s="12">
        <f t="shared" si="26"/>
        <v>93.16463414634147</v>
      </c>
      <c r="P89" s="11">
        <f t="shared" si="19"/>
        <v>132.02771093444429</v>
      </c>
      <c r="R89" s="11">
        <f t="shared" si="20"/>
        <v>148.5909073170732</v>
      </c>
      <c r="S89" s="11">
        <f t="shared" si="21"/>
        <v>141.5314159349594</v>
      </c>
      <c r="T89" s="11">
        <f t="shared" si="27"/>
        <v>145.48618780487806</v>
      </c>
      <c r="U89" s="11">
        <f t="shared" si="28"/>
        <v>138.67507398373988</v>
      </c>
    </row>
    <row r="90" spans="1:21" ht="16.5" thickBot="1" x14ac:dyDescent="0.3">
      <c r="C90" s="21"/>
    </row>
    <row r="91" spans="1:21" ht="16.5" thickBot="1" x14ac:dyDescent="0.3">
      <c r="C91" s="21"/>
    </row>
    <row r="92" spans="1:21" ht="16.5" thickBot="1" x14ac:dyDescent="0.3">
      <c r="C92" s="21"/>
    </row>
    <row r="93" spans="1:21" ht="16.5" thickBot="1" x14ac:dyDescent="0.3">
      <c r="C93" s="21"/>
    </row>
    <row r="94" spans="1:21" ht="16.5" thickBot="1" x14ac:dyDescent="0.3">
      <c r="C94" s="21"/>
    </row>
    <row r="95" spans="1:21" ht="16.5" thickBot="1" x14ac:dyDescent="0.3">
      <c r="C95" s="21"/>
    </row>
    <row r="96" spans="1:21" ht="16.5" thickBot="1" x14ac:dyDescent="0.3">
      <c r="C96" s="21"/>
    </row>
    <row r="97" spans="3:3" ht="16.5" thickBot="1" x14ac:dyDescent="0.3">
      <c r="C97" s="22"/>
    </row>
    <row r="98" spans="3:3" ht="16.5" thickBot="1" x14ac:dyDescent="0.3">
      <c r="C98" s="21"/>
    </row>
    <row r="99" spans="3:3" ht="16.5" thickBot="1" x14ac:dyDescent="0.3">
      <c r="C99" s="21"/>
    </row>
    <row r="100" spans="3:3" ht="16.5" thickBot="1" x14ac:dyDescent="0.3">
      <c r="C100" s="21"/>
    </row>
    <row r="101" spans="3:3" ht="16.5" thickBot="1" x14ac:dyDescent="0.3">
      <c r="C101" s="21"/>
    </row>
    <row r="102" spans="3:3" ht="16.5" thickBot="1" x14ac:dyDescent="0.3">
      <c r="C102" s="21"/>
    </row>
    <row r="103" spans="3:3" ht="16.5" thickBot="1" x14ac:dyDescent="0.3">
      <c r="C103" s="21"/>
    </row>
    <row r="104" spans="3:3" ht="16.5" thickBot="1" x14ac:dyDescent="0.3">
      <c r="C104" s="21"/>
    </row>
    <row r="105" spans="3:3" ht="16.5" thickBot="1" x14ac:dyDescent="0.3">
      <c r="C105" s="22"/>
    </row>
    <row r="106" spans="3:3" ht="16.5" thickBot="1" x14ac:dyDescent="0.3">
      <c r="C106" s="21"/>
    </row>
    <row r="107" spans="3:3" ht="16.5" thickBot="1" x14ac:dyDescent="0.3">
      <c r="C107" s="21"/>
    </row>
    <row r="108" spans="3:3" ht="16.5" thickBot="1" x14ac:dyDescent="0.3">
      <c r="C108" s="21"/>
    </row>
    <row r="109" spans="3:3" ht="16.5" thickBot="1" x14ac:dyDescent="0.3">
      <c r="C109" s="21"/>
    </row>
    <row r="110" spans="3:3" ht="16.5" thickBot="1" x14ac:dyDescent="0.3">
      <c r="C110" s="21"/>
    </row>
    <row r="111" spans="3:3" ht="16.5" thickBot="1" x14ac:dyDescent="0.3">
      <c r="C111" s="21"/>
    </row>
    <row r="112" spans="3:3" ht="16.5" thickBot="1" x14ac:dyDescent="0.3">
      <c r="C112" s="21"/>
    </row>
    <row r="113" spans="3:3" ht="16.5" thickBot="1" x14ac:dyDescent="0.3">
      <c r="C113" s="21"/>
    </row>
    <row r="114" spans="3:3" ht="16.5" thickBot="1" x14ac:dyDescent="0.3">
      <c r="C114" s="21"/>
    </row>
    <row r="115" spans="3:3" ht="16.5" thickBot="1" x14ac:dyDescent="0.3">
      <c r="C115" s="21"/>
    </row>
    <row r="116" spans="3:3" ht="16.5" thickBot="1" x14ac:dyDescent="0.3">
      <c r="C116" s="21"/>
    </row>
    <row r="117" spans="3:3" ht="16.5" thickBot="1" x14ac:dyDescent="0.3">
      <c r="C117" s="21"/>
    </row>
    <row r="118" spans="3:3" ht="16.5" thickBot="1" x14ac:dyDescent="0.3">
      <c r="C118" s="21"/>
    </row>
    <row r="119" spans="3:3" ht="16.5" thickBot="1" x14ac:dyDescent="0.3">
      <c r="C119" s="21"/>
    </row>
    <row r="120" spans="3:3" ht="16.5" thickBot="1" x14ac:dyDescent="0.3">
      <c r="C120" s="21"/>
    </row>
    <row r="121" spans="3:3" ht="16.5" thickBot="1" x14ac:dyDescent="0.3">
      <c r="C121" s="21"/>
    </row>
    <row r="122" spans="3:3" ht="16.5" thickBot="1" x14ac:dyDescent="0.3">
      <c r="C122" s="21"/>
    </row>
    <row r="123" spans="3:3" ht="16.5" thickBot="1" x14ac:dyDescent="0.3">
      <c r="C123" s="21"/>
    </row>
    <row r="124" spans="3:3" ht="16.5" thickBot="1" x14ac:dyDescent="0.3">
      <c r="C124" s="21"/>
    </row>
    <row r="125" spans="3:3" ht="16.5" thickBot="1" x14ac:dyDescent="0.3">
      <c r="C125" s="21"/>
    </row>
    <row r="126" spans="3:3" ht="16.5" thickBot="1" x14ac:dyDescent="0.3">
      <c r="C126" s="21"/>
    </row>
    <row r="127" spans="3:3" ht="16.5" thickBot="1" x14ac:dyDescent="0.3">
      <c r="C127" s="21"/>
    </row>
    <row r="128" spans="3:3" ht="16.5" thickBot="1" x14ac:dyDescent="0.3">
      <c r="C128" s="21"/>
    </row>
    <row r="129" spans="3:3" ht="16.5" thickBot="1" x14ac:dyDescent="0.3">
      <c r="C129" s="21"/>
    </row>
    <row r="130" spans="3:3" ht="16.5" thickBot="1" x14ac:dyDescent="0.3">
      <c r="C130" s="21"/>
    </row>
    <row r="131" spans="3:3" ht="16.5" thickBot="1" x14ac:dyDescent="0.3">
      <c r="C131" s="22"/>
    </row>
    <row r="132" spans="3:3" ht="16.5" thickBot="1" x14ac:dyDescent="0.3">
      <c r="C132" s="21"/>
    </row>
    <row r="133" spans="3:3" ht="16.5" thickBot="1" x14ac:dyDescent="0.3">
      <c r="C133" s="21"/>
    </row>
    <row r="134" spans="3:3" ht="16.5" thickBot="1" x14ac:dyDescent="0.3">
      <c r="C134" s="22"/>
    </row>
    <row r="135" spans="3:3" ht="16.5" thickBot="1" x14ac:dyDescent="0.3">
      <c r="C135" s="22"/>
    </row>
    <row r="136" spans="3:3" ht="16.5" thickBot="1" x14ac:dyDescent="0.3">
      <c r="C136" s="21"/>
    </row>
    <row r="137" spans="3:3" ht="16.5" thickBot="1" x14ac:dyDescent="0.3">
      <c r="C137" s="21"/>
    </row>
    <row r="138" spans="3:3" ht="16.5" thickBot="1" x14ac:dyDescent="0.3">
      <c r="C138" s="22"/>
    </row>
    <row r="139" spans="3:3" ht="16.5" thickBot="1" x14ac:dyDescent="0.3">
      <c r="C139" s="21"/>
    </row>
    <row r="140" spans="3:3" ht="16.5" thickBot="1" x14ac:dyDescent="0.3">
      <c r="C140" s="21"/>
    </row>
    <row r="141" spans="3:3" ht="16.5" thickBot="1" x14ac:dyDescent="0.3">
      <c r="C141" s="21"/>
    </row>
    <row r="142" spans="3:3" ht="16.5" thickBot="1" x14ac:dyDescent="0.3">
      <c r="C142" s="21"/>
    </row>
    <row r="143" spans="3:3" ht="16.5" thickBot="1" x14ac:dyDescent="0.3">
      <c r="C143" s="21"/>
    </row>
    <row r="144" spans="3:3" ht="16.5" thickBot="1" x14ac:dyDescent="0.3">
      <c r="C144" s="21"/>
    </row>
    <row r="145" spans="3:3" ht="16.5" thickBot="1" x14ac:dyDescent="0.3">
      <c r="C145" s="21"/>
    </row>
    <row r="146" spans="3:3" ht="16.5" thickBot="1" x14ac:dyDescent="0.3">
      <c r="C146" s="21"/>
    </row>
    <row r="147" spans="3:3" ht="16.5" thickBot="1" x14ac:dyDescent="0.3">
      <c r="C147" s="21"/>
    </row>
    <row r="148" spans="3:3" ht="16.5" thickBot="1" x14ac:dyDescent="0.3">
      <c r="C148" s="21"/>
    </row>
    <row r="149" spans="3:3" ht="16.5" thickBot="1" x14ac:dyDescent="0.3">
      <c r="C149" s="21"/>
    </row>
    <row r="150" spans="3:3" ht="16.5" thickBot="1" x14ac:dyDescent="0.3">
      <c r="C150" s="21"/>
    </row>
    <row r="151" spans="3:3" ht="16.5" thickBot="1" x14ac:dyDescent="0.3">
      <c r="C151" s="21"/>
    </row>
    <row r="152" spans="3:3" ht="16.5" thickBot="1" x14ac:dyDescent="0.3">
      <c r="C152" s="21"/>
    </row>
    <row r="153" spans="3:3" ht="16.5" thickBot="1" x14ac:dyDescent="0.3">
      <c r="C153" s="21"/>
    </row>
    <row r="154" spans="3:3" ht="16.5" thickBot="1" x14ac:dyDescent="0.3">
      <c r="C154" s="21"/>
    </row>
    <row r="155" spans="3:3" ht="16.5" thickBot="1" x14ac:dyDescent="0.3">
      <c r="C155" s="21"/>
    </row>
    <row r="156" spans="3:3" ht="16.5" thickBot="1" x14ac:dyDescent="0.3">
      <c r="C156" s="21"/>
    </row>
    <row r="157" spans="3:3" ht="16.5" thickBot="1" x14ac:dyDescent="0.3">
      <c r="C157" s="21"/>
    </row>
    <row r="158" spans="3:3" ht="16.5" thickBot="1" x14ac:dyDescent="0.3">
      <c r="C158" s="21"/>
    </row>
    <row r="159" spans="3:3" ht="16.5" thickBot="1" x14ac:dyDescent="0.3">
      <c r="C159" s="21"/>
    </row>
    <row r="160" spans="3:3" ht="16.5" thickBot="1" x14ac:dyDescent="0.3">
      <c r="C160" s="21"/>
    </row>
    <row r="161" spans="3:3" ht="16.5" thickBot="1" x14ac:dyDescent="0.3">
      <c r="C161" s="21"/>
    </row>
    <row r="162" spans="3:3" ht="16.5" thickBot="1" x14ac:dyDescent="0.3">
      <c r="C162" s="21"/>
    </row>
    <row r="163" spans="3:3" ht="16.5" thickBot="1" x14ac:dyDescent="0.3">
      <c r="C163" s="21"/>
    </row>
    <row r="164" spans="3:3" ht="16.5" thickBot="1" x14ac:dyDescent="0.3">
      <c r="C164" s="21"/>
    </row>
    <row r="165" spans="3:3" ht="16.5" thickBot="1" x14ac:dyDescent="0.3">
      <c r="C165" s="21"/>
    </row>
    <row r="166" spans="3:3" ht="16.5" thickBot="1" x14ac:dyDescent="0.3">
      <c r="C166" s="21"/>
    </row>
    <row r="167" spans="3:3" ht="16.5" thickBot="1" x14ac:dyDescent="0.3">
      <c r="C167" s="21"/>
    </row>
    <row r="168" spans="3:3" ht="16.5" thickBot="1" x14ac:dyDescent="0.3">
      <c r="C168" s="21"/>
    </row>
    <row r="169" spans="3:3" ht="16.5" thickBot="1" x14ac:dyDescent="0.3">
      <c r="C169" s="21"/>
    </row>
    <row r="170" spans="3:3" ht="16.5" thickBot="1" x14ac:dyDescent="0.3">
      <c r="C170" s="23"/>
    </row>
    <row r="171" spans="3:3" ht="16.5" thickBot="1" x14ac:dyDescent="0.3">
      <c r="C171" s="22"/>
    </row>
    <row r="172" spans="3:3" ht="16.5" thickBot="1" x14ac:dyDescent="0.3">
      <c r="C172" s="21"/>
    </row>
    <row r="173" spans="3:3" ht="16.5" thickBot="1" x14ac:dyDescent="0.3">
      <c r="C173" s="21"/>
    </row>
    <row r="174" spans="3:3" ht="16.5" thickBot="1" x14ac:dyDescent="0.3">
      <c r="C174" s="21"/>
    </row>
    <row r="175" spans="3:3" ht="16.5" thickBot="1" x14ac:dyDescent="0.3">
      <c r="C175" s="21"/>
    </row>
    <row r="176" spans="3:3" ht="16.5" thickBot="1" x14ac:dyDescent="0.3">
      <c r="C176" s="21"/>
    </row>
    <row r="177" spans="3:3" ht="16.5" thickBot="1" x14ac:dyDescent="0.3">
      <c r="C177" s="24"/>
    </row>
  </sheetData>
  <sheetProtection algorithmName="SHA-512" hashValue="XQvV1Gw1A5/35AtYhbr/0Zu7yl3Xk5oOFC6FJrsCaudlj5xMBujSIGKVR2rSCOxwbp5QqgiBDQItVNfqkH5klg==" saltValue="+h9p9LUZD2woK7OqSqsmVw==" spinCount="100000" sheet="1" formatCells="0" formatColumns="0" formatRows="0" insertColumns="0" insertRows="0" insertHyperlinks="0" deleteColumns="0" deleteRows="0"/>
  <sortState xmlns:xlrd2="http://schemas.microsoft.com/office/spreadsheetml/2017/richdata2" ref="A6:G89">
    <sortCondition ref="B5"/>
  </sortState>
  <mergeCells count="20">
    <mergeCell ref="S3:S4"/>
    <mergeCell ref="R3:R4"/>
    <mergeCell ref="N1:P1"/>
    <mergeCell ref="N2:N4"/>
    <mergeCell ref="G1:J2"/>
    <mergeCell ref="R1:U2"/>
    <mergeCell ref="O2:O4"/>
    <mergeCell ref="P2:P4"/>
    <mergeCell ref="T3:T4"/>
    <mergeCell ref="U3:U4"/>
    <mergeCell ref="A3:A4"/>
    <mergeCell ref="F3:F4"/>
    <mergeCell ref="H3:H4"/>
    <mergeCell ref="I3:I4"/>
    <mergeCell ref="J3:J4"/>
    <mergeCell ref="G3:G4"/>
    <mergeCell ref="E3:E4"/>
    <mergeCell ref="B1:B4"/>
    <mergeCell ref="C1:D3"/>
    <mergeCell ref="E1:F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K78"/>
  <sheetViews>
    <sheetView showGridLines="0" zoomScale="60" zoomScaleNormal="60" workbookViewId="0">
      <pane xSplit="2" ySplit="10" topLeftCell="C11" activePane="bottomRight" state="frozen"/>
      <selection pane="topRight" activeCell="C1" sqref="C1"/>
      <selection pane="bottomLeft" activeCell="A4" sqref="A4"/>
      <selection pane="bottomRight" activeCell="J57" sqref="J57"/>
    </sheetView>
  </sheetViews>
  <sheetFormatPr defaultColWidth="9.140625" defaultRowHeight="15.75" x14ac:dyDescent="0.25"/>
  <cols>
    <col min="1" max="1" width="3" style="26" customWidth="1"/>
    <col min="2" max="2" width="93.7109375" style="26" customWidth="1"/>
    <col min="3" max="3" width="21" style="26" bestFit="1" customWidth="1"/>
    <col min="4" max="4" width="49" style="26" customWidth="1"/>
    <col min="5" max="5" width="23.42578125" style="26" bestFit="1" customWidth="1"/>
    <col min="6" max="6" width="18.42578125" style="26" bestFit="1" customWidth="1"/>
    <col min="7" max="8" width="22.42578125" style="26" customWidth="1"/>
    <col min="9" max="9" width="13.140625" style="27" customWidth="1"/>
    <col min="10" max="10" width="48.42578125" style="26" customWidth="1"/>
    <col min="11" max="16384" width="9.140625" style="26"/>
  </cols>
  <sheetData>
    <row r="1" spans="2:10" x14ac:dyDescent="0.25">
      <c r="B1" s="25" t="s">
        <v>66</v>
      </c>
      <c r="C1" s="376"/>
      <c r="D1" s="376"/>
      <c r="E1" s="376"/>
      <c r="F1" s="376"/>
      <c r="J1" s="28"/>
    </row>
    <row r="2" spans="2:10" hidden="1" x14ac:dyDescent="0.25">
      <c r="B2" s="337" t="s">
        <v>244</v>
      </c>
      <c r="C2" s="377" t="s">
        <v>246</v>
      </c>
      <c r="D2" s="378"/>
      <c r="E2" s="378"/>
      <c r="F2" s="379"/>
      <c r="J2" s="28"/>
    </row>
    <row r="3" spans="2:10" x14ac:dyDescent="0.25">
      <c r="B3" s="25" t="s">
        <v>67</v>
      </c>
      <c r="C3" s="376"/>
      <c r="D3" s="376"/>
      <c r="E3" s="376"/>
      <c r="F3" s="376"/>
      <c r="J3" s="28"/>
    </row>
    <row r="4" spans="2:10" x14ac:dyDescent="0.25">
      <c r="B4" s="25" t="s">
        <v>64</v>
      </c>
      <c r="C4" s="376"/>
      <c r="D4" s="376"/>
      <c r="E4" s="376"/>
      <c r="F4" s="376"/>
      <c r="J4" s="28"/>
    </row>
    <row r="5" spans="2:10" x14ac:dyDescent="0.25">
      <c r="B5" s="25" t="s">
        <v>68</v>
      </c>
      <c r="C5" s="376"/>
      <c r="D5" s="376"/>
      <c r="E5" s="376"/>
      <c r="F5" s="376"/>
      <c r="J5" s="28"/>
    </row>
    <row r="6" spans="2:10" x14ac:dyDescent="0.25">
      <c r="B6" s="25" t="s">
        <v>225</v>
      </c>
      <c r="C6" s="376"/>
      <c r="D6" s="376"/>
      <c r="E6" s="376"/>
      <c r="F6" s="376"/>
      <c r="J6" s="28"/>
    </row>
    <row r="7" spans="2:10" x14ac:dyDescent="0.25">
      <c r="B7" s="25" t="s">
        <v>65</v>
      </c>
      <c r="C7" s="376"/>
      <c r="D7" s="376"/>
      <c r="E7" s="376"/>
      <c r="F7" s="376"/>
      <c r="J7" s="28"/>
    </row>
    <row r="9" spans="2:10" ht="16.5" thickBot="1" x14ac:dyDescent="0.3">
      <c r="B9" s="29" t="s">
        <v>57</v>
      </c>
      <c r="C9" s="29"/>
      <c r="D9" s="29"/>
      <c r="E9" s="25" t="s">
        <v>60</v>
      </c>
      <c r="F9" s="30">
        <v>12</v>
      </c>
    </row>
    <row r="10" spans="2:10" ht="63" x14ac:dyDescent="0.25">
      <c r="B10" s="261" t="s">
        <v>17</v>
      </c>
      <c r="C10" s="262"/>
      <c r="D10" s="262" t="s">
        <v>259</v>
      </c>
      <c r="E10" s="262"/>
      <c r="F10" s="262"/>
      <c r="G10" s="263" t="s">
        <v>284</v>
      </c>
      <c r="H10" s="263" t="s">
        <v>285</v>
      </c>
      <c r="I10" s="262" t="s">
        <v>302</v>
      </c>
      <c r="J10" s="264" t="s">
        <v>16</v>
      </c>
    </row>
    <row r="11" spans="2:10" ht="22.5" customHeight="1" x14ac:dyDescent="0.25">
      <c r="B11" s="265" t="s">
        <v>29</v>
      </c>
      <c r="C11" s="31"/>
      <c r="D11" s="32"/>
      <c r="E11" s="32"/>
      <c r="F11" s="33"/>
      <c r="G11" s="34">
        <f>SUM(G12,G13)</f>
        <v>0</v>
      </c>
      <c r="H11" s="35">
        <f>SUM(H12,H13)</f>
        <v>0</v>
      </c>
      <c r="I11" s="36" t="str">
        <f t="shared" ref="I11:I17" si="0">IF($H$70=0,"",H11/$H$70)</f>
        <v/>
      </c>
      <c r="J11" s="233"/>
    </row>
    <row r="12" spans="2:10" ht="24.75" customHeight="1" x14ac:dyDescent="0.25">
      <c r="B12" s="266" t="s">
        <v>220</v>
      </c>
      <c r="C12" s="37"/>
      <c r="D12" s="38"/>
      <c r="E12" s="38"/>
      <c r="F12" s="39"/>
      <c r="G12" s="40">
        <f>H12/$F$9</f>
        <v>0</v>
      </c>
      <c r="H12" s="40">
        <f>SUM('Расчет ФОТ'!P7:T7)-'Расчет ФОТ'!U7</f>
        <v>0</v>
      </c>
      <c r="I12" s="234" t="str">
        <f t="shared" si="0"/>
        <v/>
      </c>
      <c r="J12" s="235"/>
    </row>
    <row r="13" spans="2:10" ht="22.5" customHeight="1" x14ac:dyDescent="0.25">
      <c r="B13" s="267" t="s">
        <v>23</v>
      </c>
      <c r="C13" s="41"/>
      <c r="D13" s="167"/>
      <c r="E13" s="167"/>
      <c r="F13" s="268"/>
      <c r="G13" s="42">
        <f>H13/$F$9</f>
        <v>0</v>
      </c>
      <c r="H13" s="269">
        <f>SUM(H14:H16)</f>
        <v>0</v>
      </c>
      <c r="I13" s="36" t="str">
        <f t="shared" si="0"/>
        <v/>
      </c>
      <c r="J13" s="236"/>
    </row>
    <row r="14" spans="2:10" x14ac:dyDescent="0.25">
      <c r="B14" s="270" t="s">
        <v>19</v>
      </c>
      <c r="C14" s="43">
        <v>0.13</v>
      </c>
      <c r="D14" s="168"/>
      <c r="E14" s="271"/>
      <c r="F14" s="272"/>
      <c r="G14" s="44">
        <f>H14/$F$9</f>
        <v>0</v>
      </c>
      <c r="H14" s="54">
        <f>'Расчет ФОТ'!U7</f>
        <v>0</v>
      </c>
      <c r="I14" s="91" t="str">
        <f t="shared" si="0"/>
        <v/>
      </c>
      <c r="J14" s="236"/>
    </row>
    <row r="15" spans="2:10" x14ac:dyDescent="0.25">
      <c r="B15" s="270" t="s">
        <v>288</v>
      </c>
      <c r="C15" s="273">
        <v>0.30499999999999999</v>
      </c>
      <c r="D15" s="168"/>
      <c r="E15" s="271"/>
      <c r="F15" s="274"/>
      <c r="G15" s="44">
        <f>H15/$F$9</f>
        <v>0</v>
      </c>
      <c r="H15" s="44">
        <f>'Расчет ФОТ'!V7</f>
        <v>0</v>
      </c>
      <c r="I15" s="91" t="str">
        <f t="shared" si="0"/>
        <v/>
      </c>
      <c r="J15" s="244"/>
    </row>
    <row r="16" spans="2:10" ht="16.5" thickBot="1" x14ac:dyDescent="0.3">
      <c r="B16" s="275" t="s">
        <v>289</v>
      </c>
      <c r="C16" s="46">
        <v>0.24299999999999999</v>
      </c>
      <c r="D16" s="169"/>
      <c r="E16" s="47"/>
      <c r="F16" s="48"/>
      <c r="G16" s="49">
        <f>H16/$F$9</f>
        <v>0</v>
      </c>
      <c r="H16" s="48">
        <f>'Расчет ФОТ'!W7</f>
        <v>0</v>
      </c>
      <c r="I16" s="335" t="str">
        <f t="shared" si="0"/>
        <v/>
      </c>
      <c r="J16" s="238"/>
    </row>
    <row r="17" spans="2:10" ht="21.75" customHeight="1" x14ac:dyDescent="0.25">
      <c r="B17" s="276" t="s">
        <v>8</v>
      </c>
      <c r="C17" s="50" t="s">
        <v>18</v>
      </c>
      <c r="D17" s="50"/>
      <c r="E17" s="51" t="s">
        <v>30</v>
      </c>
      <c r="F17" s="277"/>
      <c r="G17" s="278">
        <f>SUM(G18:G21)</f>
        <v>0</v>
      </c>
      <c r="H17" s="279">
        <f>SUM(H18:H21)</f>
        <v>0</v>
      </c>
      <c r="I17" s="61" t="str">
        <f t="shared" si="0"/>
        <v/>
      </c>
      <c r="J17" s="62"/>
    </row>
    <row r="18" spans="2:10" x14ac:dyDescent="0.25">
      <c r="B18" s="280" t="s">
        <v>7</v>
      </c>
      <c r="C18" s="52"/>
      <c r="D18" s="52"/>
      <c r="E18" s="53"/>
      <c r="F18" s="64"/>
      <c r="G18" s="44">
        <f>H18/$F$9</f>
        <v>0</v>
      </c>
      <c r="H18" s="54">
        <f>C18*E18</f>
        <v>0</v>
      </c>
      <c r="I18" s="45"/>
      <c r="J18" s="237"/>
    </row>
    <row r="19" spans="2:10" x14ac:dyDescent="0.25">
      <c r="B19" s="280" t="s">
        <v>248</v>
      </c>
      <c r="C19" s="52"/>
      <c r="D19" s="52"/>
      <c r="E19" s="53"/>
      <c r="F19" s="64"/>
      <c r="G19" s="44">
        <f t="shared" ref="G19:G20" si="1">H19/$F$9</f>
        <v>0</v>
      </c>
      <c r="H19" s="54">
        <f t="shared" ref="H19:H20" si="2">C19*E19</f>
        <v>0</v>
      </c>
      <c r="I19" s="45"/>
      <c r="J19" s="237"/>
    </row>
    <row r="20" spans="2:10" x14ac:dyDescent="0.25">
      <c r="B20" s="280" t="s">
        <v>253</v>
      </c>
      <c r="C20" s="52"/>
      <c r="D20" s="52"/>
      <c r="E20" s="53"/>
      <c r="F20" s="64"/>
      <c r="G20" s="44">
        <f t="shared" si="1"/>
        <v>0</v>
      </c>
      <c r="H20" s="54">
        <f t="shared" si="2"/>
        <v>0</v>
      </c>
      <c r="I20" s="45"/>
      <c r="J20" s="237"/>
    </row>
    <row r="21" spans="2:10" ht="16.5" thickBot="1" x14ac:dyDescent="0.3">
      <c r="B21" s="281" t="s">
        <v>6</v>
      </c>
      <c r="C21" s="67"/>
      <c r="D21" s="67"/>
      <c r="E21" s="68"/>
      <c r="F21" s="55"/>
      <c r="G21" s="49">
        <f>H21/$F$9</f>
        <v>0</v>
      </c>
      <c r="H21" s="48">
        <f>C21*E21</f>
        <v>0</v>
      </c>
      <c r="I21" s="56"/>
      <c r="J21" s="238"/>
    </row>
    <row r="22" spans="2:10" ht="22.5" customHeight="1" x14ac:dyDescent="0.25">
      <c r="B22" s="57" t="s">
        <v>1</v>
      </c>
      <c r="C22" s="50" t="s">
        <v>18</v>
      </c>
      <c r="D22" s="50"/>
      <c r="E22" s="51" t="s">
        <v>30</v>
      </c>
      <c r="F22" s="58"/>
      <c r="G22" s="59">
        <f>SUM(G23:G30)</f>
        <v>0</v>
      </c>
      <c r="H22" s="60">
        <f>SUM(H23:H30)</f>
        <v>0</v>
      </c>
      <c r="I22" s="36" t="str">
        <f>IF($H$70=0,"",H22/$H$70)</f>
        <v/>
      </c>
      <c r="J22" s="62"/>
    </row>
    <row r="23" spans="2:10" x14ac:dyDescent="0.25">
      <c r="B23" s="63" t="s">
        <v>31</v>
      </c>
      <c r="C23" s="52"/>
      <c r="D23" s="52"/>
      <c r="E23" s="53"/>
      <c r="F23" s="64"/>
      <c r="G23" s="44">
        <f>H23/$F$9</f>
        <v>0</v>
      </c>
      <c r="H23" s="54">
        <f>C23*E23</f>
        <v>0</v>
      </c>
      <c r="I23" s="45"/>
      <c r="J23" s="65"/>
    </row>
    <row r="24" spans="2:10" x14ac:dyDescent="0.25">
      <c r="B24" s="63" t="s">
        <v>32</v>
      </c>
      <c r="C24" s="52"/>
      <c r="D24" s="52"/>
      <c r="E24" s="53"/>
      <c r="F24" s="64"/>
      <c r="G24" s="44">
        <f t="shared" ref="G24:G28" si="3">H24/$F$9</f>
        <v>0</v>
      </c>
      <c r="H24" s="54">
        <f t="shared" ref="H24:H28" si="4">C24*E24</f>
        <v>0</v>
      </c>
      <c r="I24" s="45"/>
      <c r="J24" s="65"/>
    </row>
    <row r="25" spans="2:10" x14ac:dyDescent="0.25">
      <c r="B25" s="63" t="s">
        <v>33</v>
      </c>
      <c r="C25" s="52"/>
      <c r="D25" s="52"/>
      <c r="E25" s="53"/>
      <c r="F25" s="64"/>
      <c r="G25" s="44">
        <f t="shared" si="3"/>
        <v>0</v>
      </c>
      <c r="H25" s="54">
        <f t="shared" si="4"/>
        <v>0</v>
      </c>
      <c r="I25" s="45"/>
      <c r="J25" s="65"/>
    </row>
    <row r="26" spans="2:10" x14ac:dyDescent="0.25">
      <c r="B26" s="63" t="s">
        <v>323</v>
      </c>
      <c r="C26" s="52"/>
      <c r="D26" s="52"/>
      <c r="E26" s="53"/>
      <c r="F26" s="64"/>
      <c r="G26" s="44">
        <f t="shared" si="3"/>
        <v>0</v>
      </c>
      <c r="H26" s="54">
        <f t="shared" si="4"/>
        <v>0</v>
      </c>
      <c r="I26" s="45"/>
      <c r="J26" s="65"/>
    </row>
    <row r="27" spans="2:10" x14ac:dyDescent="0.25">
      <c r="B27" s="63" t="s">
        <v>324</v>
      </c>
      <c r="C27" s="52"/>
      <c r="D27" s="52"/>
      <c r="E27" s="53"/>
      <c r="F27" s="64"/>
      <c r="G27" s="44">
        <f t="shared" si="3"/>
        <v>0</v>
      </c>
      <c r="H27" s="54">
        <f t="shared" si="4"/>
        <v>0</v>
      </c>
      <c r="I27" s="45"/>
      <c r="J27" s="65"/>
    </row>
    <row r="28" spans="2:10" x14ac:dyDescent="0.25">
      <c r="B28" s="63" t="s">
        <v>325</v>
      </c>
      <c r="C28" s="52"/>
      <c r="D28" s="52"/>
      <c r="E28" s="53"/>
      <c r="F28" s="64"/>
      <c r="G28" s="44">
        <f t="shared" si="3"/>
        <v>0</v>
      </c>
      <c r="H28" s="54">
        <f t="shared" si="4"/>
        <v>0</v>
      </c>
      <c r="I28" s="45"/>
      <c r="J28" s="65"/>
    </row>
    <row r="29" spans="2:10" x14ac:dyDescent="0.25">
      <c r="B29" s="63" t="s">
        <v>326</v>
      </c>
      <c r="C29" s="52"/>
      <c r="D29" s="52"/>
      <c r="E29" s="53"/>
      <c r="F29" s="64"/>
      <c r="G29" s="44">
        <f>H29/$F$9</f>
        <v>0</v>
      </c>
      <c r="H29" s="54">
        <f>C29*E29</f>
        <v>0</v>
      </c>
      <c r="I29" s="45"/>
      <c r="J29" s="65"/>
    </row>
    <row r="30" spans="2:10" ht="16.5" thickBot="1" x14ac:dyDescent="0.3">
      <c r="B30" s="66" t="s">
        <v>327</v>
      </c>
      <c r="C30" s="67"/>
      <c r="D30" s="67"/>
      <c r="E30" s="68"/>
      <c r="F30" s="55"/>
      <c r="G30" s="44">
        <f>H30/$F$9</f>
        <v>0</v>
      </c>
      <c r="H30" s="54">
        <f>C30*E30</f>
        <v>0</v>
      </c>
      <c r="I30" s="56"/>
      <c r="J30" s="69"/>
    </row>
    <row r="31" spans="2:10" ht="22.5" customHeight="1" x14ac:dyDescent="0.25">
      <c r="B31" s="57" t="s">
        <v>2</v>
      </c>
      <c r="C31" s="50" t="s">
        <v>18</v>
      </c>
      <c r="D31" s="50"/>
      <c r="E31" s="51" t="s">
        <v>30</v>
      </c>
      <c r="F31" s="58"/>
      <c r="G31" s="59">
        <f>SUM(G32:G39)</f>
        <v>0</v>
      </c>
      <c r="H31" s="60">
        <f>SUM(H32:H39)</f>
        <v>0</v>
      </c>
      <c r="I31" s="36" t="str">
        <f>IF($H$70=0,"",H31/$H$70)</f>
        <v/>
      </c>
      <c r="J31" s="70"/>
    </row>
    <row r="32" spans="2:10" ht="18" customHeight="1" x14ac:dyDescent="0.25">
      <c r="B32" s="63" t="s">
        <v>41</v>
      </c>
      <c r="C32" s="52"/>
      <c r="D32" s="52"/>
      <c r="E32" s="53"/>
      <c r="F32" s="64"/>
      <c r="G32" s="44">
        <f>H32/$F$9</f>
        <v>0</v>
      </c>
      <c r="H32" s="54">
        <f>C32*E32</f>
        <v>0</v>
      </c>
      <c r="I32" s="45"/>
      <c r="J32" s="65"/>
    </row>
    <row r="33" spans="2:10" ht="18" customHeight="1" x14ac:dyDescent="0.25">
      <c r="B33" s="63" t="s">
        <v>34</v>
      </c>
      <c r="C33" s="52"/>
      <c r="D33" s="52"/>
      <c r="E33" s="53"/>
      <c r="F33" s="64"/>
      <c r="G33" s="44">
        <f t="shared" ref="G33:G36" si="5">H33/$F$9</f>
        <v>0</v>
      </c>
      <c r="H33" s="54">
        <f t="shared" ref="H33:H36" si="6">C33*E33</f>
        <v>0</v>
      </c>
      <c r="I33" s="45"/>
      <c r="J33" s="65"/>
    </row>
    <row r="34" spans="2:10" ht="18" customHeight="1" x14ac:dyDescent="0.25">
      <c r="B34" s="63" t="s">
        <v>249</v>
      </c>
      <c r="C34" s="52"/>
      <c r="D34" s="52"/>
      <c r="E34" s="53"/>
      <c r="F34" s="64"/>
      <c r="G34" s="44">
        <f t="shared" si="5"/>
        <v>0</v>
      </c>
      <c r="H34" s="54">
        <f t="shared" si="6"/>
        <v>0</v>
      </c>
      <c r="I34" s="45"/>
      <c r="J34" s="65"/>
    </row>
    <row r="35" spans="2:10" ht="18" customHeight="1" x14ac:dyDescent="0.25">
      <c r="B35" s="63" t="s">
        <v>250</v>
      </c>
      <c r="C35" s="52"/>
      <c r="D35" s="52"/>
      <c r="E35" s="53"/>
      <c r="F35" s="64"/>
      <c r="G35" s="44">
        <f t="shared" si="5"/>
        <v>0</v>
      </c>
      <c r="H35" s="54">
        <f t="shared" si="6"/>
        <v>0</v>
      </c>
      <c r="I35" s="45"/>
      <c r="J35" s="65"/>
    </row>
    <row r="36" spans="2:10" ht="18" customHeight="1" x14ac:dyDescent="0.25">
      <c r="B36" s="63" t="s">
        <v>328</v>
      </c>
      <c r="C36" s="52"/>
      <c r="D36" s="52"/>
      <c r="E36" s="53"/>
      <c r="F36" s="64"/>
      <c r="G36" s="44">
        <f t="shared" si="5"/>
        <v>0</v>
      </c>
      <c r="H36" s="54">
        <f t="shared" si="6"/>
        <v>0</v>
      </c>
      <c r="I36" s="45"/>
      <c r="J36" s="65"/>
    </row>
    <row r="37" spans="2:10" ht="18" customHeight="1" x14ac:dyDescent="0.25">
      <c r="B37" s="63" t="s">
        <v>329</v>
      </c>
      <c r="C37" s="52"/>
      <c r="D37" s="52"/>
      <c r="E37" s="53"/>
      <c r="F37" s="64"/>
      <c r="G37" s="44">
        <f>H37/$F$9</f>
        <v>0</v>
      </c>
      <c r="H37" s="54">
        <f>C37*E37</f>
        <v>0</v>
      </c>
      <c r="I37" s="45"/>
      <c r="J37" s="65"/>
    </row>
    <row r="38" spans="2:10" ht="18" customHeight="1" x14ac:dyDescent="0.25">
      <c r="B38" s="63" t="s">
        <v>330</v>
      </c>
      <c r="C38" s="52"/>
      <c r="D38" s="52"/>
      <c r="E38" s="53"/>
      <c r="F38" s="64"/>
      <c r="G38" s="44">
        <f>H38/$F$9</f>
        <v>0</v>
      </c>
      <c r="H38" s="54">
        <f>C38*E38</f>
        <v>0</v>
      </c>
      <c r="I38" s="45"/>
      <c r="J38" s="65"/>
    </row>
    <row r="39" spans="2:10" ht="18" customHeight="1" thickBot="1" x14ac:dyDescent="0.3">
      <c r="B39" s="63" t="s">
        <v>331</v>
      </c>
      <c r="C39" s="52"/>
      <c r="D39" s="52"/>
      <c r="E39" s="53"/>
      <c r="F39" s="64"/>
      <c r="G39" s="44">
        <f>H39/$F$9</f>
        <v>0</v>
      </c>
      <c r="H39" s="54">
        <f>C39*E39</f>
        <v>0</v>
      </c>
      <c r="I39" s="56"/>
      <c r="J39" s="69"/>
    </row>
    <row r="40" spans="2:10" x14ac:dyDescent="0.25">
      <c r="B40" s="372" t="s">
        <v>3</v>
      </c>
      <c r="C40" s="71"/>
      <c r="D40" s="71"/>
      <c r="E40" s="71"/>
      <c r="F40" s="72"/>
      <c r="G40" s="59">
        <f>SUM(G42:G48)</f>
        <v>0</v>
      </c>
      <c r="H40" s="73">
        <f>SUM(H42:H48)</f>
        <v>0</v>
      </c>
      <c r="I40" s="61" t="str">
        <f>IF($H$70=0,"",H40/$H$70)</f>
        <v/>
      </c>
      <c r="J40" s="239"/>
    </row>
    <row r="41" spans="2:10" ht="47.25" x14ac:dyDescent="0.25">
      <c r="B41" s="373"/>
      <c r="C41" s="74" t="s">
        <v>18</v>
      </c>
      <c r="D41" s="74"/>
      <c r="E41" s="75" t="s">
        <v>30</v>
      </c>
      <c r="F41" s="75" t="s">
        <v>218</v>
      </c>
      <c r="G41" s="76"/>
      <c r="H41" s="77"/>
      <c r="I41" s="240"/>
      <c r="J41" s="374"/>
    </row>
    <row r="42" spans="2:10" ht="31.5" x14ac:dyDescent="0.25">
      <c r="B42" s="78" t="s">
        <v>44</v>
      </c>
      <c r="C42" s="79"/>
      <c r="D42" s="79"/>
      <c r="E42" s="30"/>
      <c r="F42" s="30">
        <v>60</v>
      </c>
      <c r="G42" s="44">
        <f t="shared" ref="G42:G48" si="7">E42/F42*C42</f>
        <v>0</v>
      </c>
      <c r="H42" s="80">
        <f t="shared" ref="H42:H48" si="8">G42*$F$9</f>
        <v>0</v>
      </c>
      <c r="I42" s="240"/>
      <c r="J42" s="374"/>
    </row>
    <row r="43" spans="2:10" ht="31.5" x14ac:dyDescent="0.25">
      <c r="B43" s="78" t="s">
        <v>216</v>
      </c>
      <c r="C43" s="79"/>
      <c r="D43" s="79"/>
      <c r="E43" s="30"/>
      <c r="F43" s="30">
        <v>24</v>
      </c>
      <c r="G43" s="44">
        <f t="shared" si="7"/>
        <v>0</v>
      </c>
      <c r="H43" s="80">
        <f t="shared" si="8"/>
        <v>0</v>
      </c>
      <c r="I43" s="240"/>
      <c r="J43" s="374"/>
    </row>
    <row r="44" spans="2:10" ht="47.25" x14ac:dyDescent="0.25">
      <c r="B44" s="78" t="s">
        <v>217</v>
      </c>
      <c r="C44" s="79"/>
      <c r="D44" s="79"/>
      <c r="E44" s="30"/>
      <c r="F44" s="30">
        <v>36</v>
      </c>
      <c r="G44" s="44">
        <f t="shared" si="7"/>
        <v>0</v>
      </c>
      <c r="H44" s="80">
        <f t="shared" si="8"/>
        <v>0</v>
      </c>
      <c r="I44" s="240"/>
      <c r="J44" s="374"/>
    </row>
    <row r="45" spans="2:10" ht="31.5" x14ac:dyDescent="0.25">
      <c r="B45" s="78" t="s">
        <v>45</v>
      </c>
      <c r="C45" s="79"/>
      <c r="D45" s="79"/>
      <c r="E45" s="30"/>
      <c r="F45" s="30">
        <v>84</v>
      </c>
      <c r="G45" s="44">
        <f t="shared" si="7"/>
        <v>0</v>
      </c>
      <c r="H45" s="80">
        <f t="shared" si="8"/>
        <v>0</v>
      </c>
      <c r="I45" s="240"/>
      <c r="J45" s="374"/>
    </row>
    <row r="46" spans="2:10" ht="47.25" x14ac:dyDescent="0.25">
      <c r="B46" s="78" t="s">
        <v>47</v>
      </c>
      <c r="C46" s="79"/>
      <c r="D46" s="79"/>
      <c r="E46" s="30"/>
      <c r="F46" s="30">
        <v>84</v>
      </c>
      <c r="G46" s="44">
        <f t="shared" si="7"/>
        <v>0</v>
      </c>
      <c r="H46" s="80">
        <f t="shared" si="8"/>
        <v>0</v>
      </c>
      <c r="I46" s="240"/>
      <c r="J46" s="374"/>
    </row>
    <row r="47" spans="2:10" ht="47.25" x14ac:dyDescent="0.25">
      <c r="B47" s="78" t="s">
        <v>46</v>
      </c>
      <c r="C47" s="79"/>
      <c r="D47" s="79"/>
      <c r="E47" s="30"/>
      <c r="F47" s="30">
        <v>84</v>
      </c>
      <c r="G47" s="44">
        <f t="shared" si="7"/>
        <v>0</v>
      </c>
      <c r="H47" s="80">
        <f t="shared" si="8"/>
        <v>0</v>
      </c>
      <c r="I47" s="240"/>
      <c r="J47" s="374"/>
    </row>
    <row r="48" spans="2:10" ht="32.25" thickBot="1" x14ac:dyDescent="0.3">
      <c r="B48" s="282" t="s">
        <v>294</v>
      </c>
      <c r="C48" s="283"/>
      <c r="D48" s="283"/>
      <c r="E48" s="88"/>
      <c r="F48" s="88">
        <v>36</v>
      </c>
      <c r="G48" s="49">
        <f t="shared" si="7"/>
        <v>0</v>
      </c>
      <c r="H48" s="284">
        <f t="shared" si="8"/>
        <v>0</v>
      </c>
      <c r="I48" s="241"/>
      <c r="J48" s="375"/>
    </row>
    <row r="49" spans="2:10" ht="24.75" customHeight="1" thickBot="1" x14ac:dyDescent="0.3">
      <c r="B49" s="285" t="s">
        <v>35</v>
      </c>
      <c r="C49" s="286"/>
      <c r="D49" s="286"/>
      <c r="E49" s="49"/>
      <c r="F49" s="287"/>
      <c r="G49" s="284">
        <f>H49/$F$9</f>
        <v>0</v>
      </c>
      <c r="H49" s="288">
        <v>0</v>
      </c>
      <c r="I49" s="91" t="str">
        <f>IF($H$70=0,"",H49/$H$70)</f>
        <v/>
      </c>
      <c r="J49" s="242"/>
    </row>
    <row r="50" spans="2:10" ht="22.5" customHeight="1" x14ac:dyDescent="0.25">
      <c r="B50" s="276" t="s">
        <v>4</v>
      </c>
      <c r="C50" s="50" t="s">
        <v>18</v>
      </c>
      <c r="D50" s="50"/>
      <c r="E50" s="51" t="s">
        <v>53</v>
      </c>
      <c r="F50" s="277"/>
      <c r="G50" s="59">
        <f>SUM(G51:G55)</f>
        <v>0</v>
      </c>
      <c r="H50" s="60">
        <f>SUM(H51:H55)</f>
        <v>0</v>
      </c>
      <c r="I50" s="81" t="str">
        <f>IF($H$70=0,"",H50/$H$70)</f>
        <v/>
      </c>
      <c r="J50" s="243"/>
    </row>
    <row r="51" spans="2:10" x14ac:dyDescent="0.25">
      <c r="B51" s="63" t="s">
        <v>9</v>
      </c>
      <c r="C51" s="289"/>
      <c r="D51" s="289"/>
      <c r="E51" s="290"/>
      <c r="F51" s="64"/>
      <c r="G51" s="44">
        <f t="shared" ref="G51:G63" si="9">H51/$F$9</f>
        <v>0</v>
      </c>
      <c r="H51" s="291">
        <f>E51*C51</f>
        <v>0</v>
      </c>
      <c r="I51" s="45"/>
      <c r="J51" s="244"/>
    </row>
    <row r="52" spans="2:10" x14ac:dyDescent="0.25">
      <c r="B52" s="63" t="s">
        <v>10</v>
      </c>
      <c r="C52" s="289"/>
      <c r="D52" s="289"/>
      <c r="E52" s="290"/>
      <c r="F52" s="64"/>
      <c r="G52" s="44">
        <f t="shared" si="9"/>
        <v>0</v>
      </c>
      <c r="H52" s="291">
        <f>E52*C52</f>
        <v>0</v>
      </c>
      <c r="I52" s="45"/>
      <c r="J52" s="244"/>
    </row>
    <row r="53" spans="2:10" x14ac:dyDescent="0.25">
      <c r="B53" s="63" t="s">
        <v>11</v>
      </c>
      <c r="C53" s="289"/>
      <c r="D53" s="289"/>
      <c r="E53" s="290"/>
      <c r="F53" s="64"/>
      <c r="G53" s="44">
        <f t="shared" si="9"/>
        <v>0</v>
      </c>
      <c r="H53" s="291">
        <f>E53*C53</f>
        <v>0</v>
      </c>
      <c r="I53" s="45"/>
      <c r="J53" s="244"/>
    </row>
    <row r="54" spans="2:10" x14ac:dyDescent="0.25">
      <c r="B54" s="63" t="s">
        <v>55</v>
      </c>
      <c r="C54" s="289"/>
      <c r="D54" s="289"/>
      <c r="E54" s="290"/>
      <c r="F54" s="64"/>
      <c r="G54" s="44">
        <f t="shared" si="9"/>
        <v>0</v>
      </c>
      <c r="H54" s="291">
        <f>E54*C54</f>
        <v>0</v>
      </c>
      <c r="I54" s="45"/>
      <c r="J54" s="244"/>
    </row>
    <row r="55" spans="2:10" x14ac:dyDescent="0.25">
      <c r="B55" s="63" t="s">
        <v>56</v>
      </c>
      <c r="C55" s="289"/>
      <c r="D55" s="289"/>
      <c r="E55" s="290"/>
      <c r="F55" s="64"/>
      <c r="G55" s="44">
        <f t="shared" si="9"/>
        <v>0</v>
      </c>
      <c r="H55" s="291">
        <f>E55*C55</f>
        <v>0</v>
      </c>
      <c r="I55" s="245"/>
      <c r="J55" s="244"/>
    </row>
    <row r="56" spans="2:10" ht="22.5" customHeight="1" x14ac:dyDescent="0.25">
      <c r="B56" s="265" t="s">
        <v>5</v>
      </c>
      <c r="C56" s="82"/>
      <c r="D56" s="82"/>
      <c r="E56" s="82"/>
      <c r="F56" s="82"/>
      <c r="G56" s="40">
        <f t="shared" si="9"/>
        <v>0</v>
      </c>
      <c r="H56" s="83">
        <v>0</v>
      </c>
      <c r="I56" s="84" t="str">
        <f t="shared" ref="I56:I68" si="10">IF($H$70=0,"",H56/$H$70)</f>
        <v/>
      </c>
      <c r="J56" s="246"/>
    </row>
    <row r="57" spans="2:10" ht="22.5" customHeight="1" x14ac:dyDescent="0.25">
      <c r="B57" s="265" t="s">
        <v>36</v>
      </c>
      <c r="C57" s="82"/>
      <c r="D57" s="82"/>
      <c r="E57" s="82"/>
      <c r="F57" s="82"/>
      <c r="G57" s="40">
        <f t="shared" si="9"/>
        <v>0</v>
      </c>
      <c r="H57" s="83">
        <v>0</v>
      </c>
      <c r="I57" s="84" t="str">
        <f t="shared" si="10"/>
        <v/>
      </c>
      <c r="J57" s="246"/>
    </row>
    <row r="58" spans="2:10" x14ac:dyDescent="0.25">
      <c r="B58" s="265" t="s">
        <v>42</v>
      </c>
      <c r="C58" s="82"/>
      <c r="D58" s="82"/>
      <c r="E58" s="82"/>
      <c r="F58" s="82"/>
      <c r="G58" s="40">
        <f t="shared" si="9"/>
        <v>0</v>
      </c>
      <c r="H58" s="83">
        <v>0</v>
      </c>
      <c r="I58" s="84" t="str">
        <f t="shared" si="10"/>
        <v/>
      </c>
      <c r="J58" s="247"/>
    </row>
    <row r="59" spans="2:10" x14ac:dyDescent="0.25">
      <c r="B59" s="265" t="s">
        <v>54</v>
      </c>
      <c r="C59" s="82"/>
      <c r="D59" s="82"/>
      <c r="E59" s="82"/>
      <c r="F59" s="82"/>
      <c r="G59" s="40">
        <f t="shared" si="9"/>
        <v>0</v>
      </c>
      <c r="H59" s="83">
        <v>0</v>
      </c>
      <c r="I59" s="84" t="str">
        <f t="shared" si="10"/>
        <v/>
      </c>
      <c r="J59" s="248"/>
    </row>
    <row r="60" spans="2:10" x14ac:dyDescent="0.25">
      <c r="B60" s="265" t="s">
        <v>13</v>
      </c>
      <c r="C60" s="82"/>
      <c r="D60" s="82"/>
      <c r="E60" s="82"/>
      <c r="F60" s="82"/>
      <c r="G60" s="40">
        <f t="shared" si="9"/>
        <v>0</v>
      </c>
      <c r="H60" s="83">
        <v>0</v>
      </c>
      <c r="I60" s="84" t="str">
        <f t="shared" si="10"/>
        <v/>
      </c>
      <c r="J60" s="247"/>
    </row>
    <row r="61" spans="2:10" x14ac:dyDescent="0.25">
      <c r="B61" s="292" t="s">
        <v>12</v>
      </c>
      <c r="C61" s="85"/>
      <c r="D61" s="85"/>
      <c r="E61" s="85"/>
      <c r="F61" s="85"/>
      <c r="G61" s="86">
        <f t="shared" si="9"/>
        <v>0</v>
      </c>
      <c r="H61" s="87">
        <v>0</v>
      </c>
      <c r="I61" s="84" t="str">
        <f t="shared" si="10"/>
        <v/>
      </c>
      <c r="J61" s="249"/>
    </row>
    <row r="62" spans="2:10" x14ac:dyDescent="0.25">
      <c r="B62" s="293"/>
      <c r="C62" s="30"/>
      <c r="D62" s="30"/>
      <c r="E62" s="30"/>
      <c r="F62" s="30"/>
      <c r="G62" s="86">
        <f t="shared" si="9"/>
        <v>0</v>
      </c>
      <c r="H62" s="30"/>
      <c r="I62" s="84" t="str">
        <f t="shared" si="10"/>
        <v/>
      </c>
      <c r="J62" s="250"/>
    </row>
    <row r="63" spans="2:10" ht="16.5" thickBot="1" x14ac:dyDescent="0.3">
      <c r="B63" s="294"/>
      <c r="C63" s="88"/>
      <c r="D63" s="88"/>
      <c r="E63" s="88"/>
      <c r="F63" s="88"/>
      <c r="G63" s="89">
        <f t="shared" si="9"/>
        <v>0</v>
      </c>
      <c r="H63" s="88"/>
      <c r="I63" s="90" t="str">
        <f t="shared" si="10"/>
        <v/>
      </c>
      <c r="J63" s="251"/>
    </row>
    <row r="64" spans="2:10" ht="55.5" customHeight="1" thickBot="1" x14ac:dyDescent="0.3">
      <c r="B64" s="295" t="s">
        <v>25</v>
      </c>
      <c r="C64" s="296"/>
      <c r="D64" s="296"/>
      <c r="E64" s="297"/>
      <c r="F64" s="298"/>
      <c r="G64" s="278">
        <f>SUM(G11,G17,G22,G31,G40,G49,G50,G56,G57,G58,G59,G60,G61,G62:G63)</f>
        <v>0</v>
      </c>
      <c r="H64" s="278">
        <f>SUM(H11,H17,H22,H31,H40,H49,H50,H56,H57,H58,H59,H60,H61,H62:H63)</f>
        <v>0</v>
      </c>
      <c r="I64" s="81" t="str">
        <f t="shared" si="10"/>
        <v/>
      </c>
      <c r="J64" s="252"/>
    </row>
    <row r="65" spans="2:11" ht="48" thickBot="1" x14ac:dyDescent="0.3">
      <c r="B65" s="299" t="s">
        <v>21</v>
      </c>
      <c r="C65" s="92" t="s">
        <v>50</v>
      </c>
      <c r="D65" s="170"/>
      <c r="E65" s="93">
        <v>9.2999999999999999E-2</v>
      </c>
      <c r="F65" s="94" t="s">
        <v>49</v>
      </c>
      <c r="G65" s="95">
        <f>H65/$F$9</f>
        <v>0</v>
      </c>
      <c r="H65" s="96">
        <f>H64*E65</f>
        <v>0</v>
      </c>
      <c r="I65" s="84" t="str">
        <f t="shared" si="10"/>
        <v/>
      </c>
      <c r="J65" s="248"/>
    </row>
    <row r="66" spans="2:11" ht="54" customHeight="1" thickBot="1" x14ac:dyDescent="0.3">
      <c r="B66" s="300" t="s">
        <v>48</v>
      </c>
      <c r="C66" s="92" t="s">
        <v>51</v>
      </c>
      <c r="D66" s="170"/>
      <c r="E66" s="97">
        <v>0.12</v>
      </c>
      <c r="F66" s="98">
        <v>30</v>
      </c>
      <c r="G66" s="99">
        <f>H66/$F$9</f>
        <v>0</v>
      </c>
      <c r="H66" s="100">
        <f>-PMT(E66/12,$F$9,(H11+H17+H40+H49+H50+H56+H57+H58+H59+H60+H61+H62+H63)/365*F66+SUMPRODUCT(C42:C48,E42:E48)*1.2+H22*1.2+H31*1.2)*$F$9-((H11+H17+H40+H49+H50+H56+H57+H58+H59+H60+H61+H62+H63)/365*F66+SUMPRODUCT(C42:C48,E42:E48)*1.2+H22*1.2+H31*1.2)</f>
        <v>0</v>
      </c>
      <c r="I66" s="90" t="str">
        <f t="shared" si="10"/>
        <v/>
      </c>
      <c r="J66" s="253"/>
    </row>
    <row r="67" spans="2:11" ht="21" customHeight="1" thickBot="1" x14ac:dyDescent="0.3">
      <c r="B67" s="301" t="s">
        <v>26</v>
      </c>
      <c r="C67" s="302"/>
      <c r="D67" s="302"/>
      <c r="E67" s="303"/>
      <c r="F67" s="304"/>
      <c r="G67" s="278">
        <f>SUM(G64:G66)</f>
        <v>0</v>
      </c>
      <c r="H67" s="278">
        <f>SUM(H64:H66)</f>
        <v>0</v>
      </c>
      <c r="I67" s="61" t="str">
        <f t="shared" si="10"/>
        <v/>
      </c>
      <c r="J67" s="254"/>
      <c r="K67" s="101"/>
    </row>
    <row r="68" spans="2:11" ht="66.75" customHeight="1" thickBot="1" x14ac:dyDescent="0.3">
      <c r="B68" s="305" t="s">
        <v>27</v>
      </c>
      <c r="C68" s="92" t="s">
        <v>52</v>
      </c>
      <c r="D68" s="170"/>
      <c r="E68" s="97">
        <v>3.2000000000000001E-2</v>
      </c>
      <c r="F68" s="102"/>
      <c r="G68" s="40">
        <f>H68/$F$9</f>
        <v>0</v>
      </c>
      <c r="H68" s="39">
        <f>H67*E68</f>
        <v>0</v>
      </c>
      <c r="I68" s="84" t="str">
        <f t="shared" si="10"/>
        <v/>
      </c>
      <c r="J68" s="248"/>
    </row>
    <row r="69" spans="2:11" ht="16.5" thickBot="1" x14ac:dyDescent="0.3">
      <c r="B69" s="306" t="s">
        <v>189</v>
      </c>
      <c r="C69" s="307">
        <v>0.2</v>
      </c>
      <c r="D69" s="308"/>
      <c r="E69" s="47"/>
      <c r="F69" s="309"/>
      <c r="G69" s="89">
        <f>G68*C69</f>
        <v>0</v>
      </c>
      <c r="H69" s="310">
        <f>H68*C69</f>
        <v>0</v>
      </c>
      <c r="I69" s="90"/>
      <c r="J69" s="253"/>
    </row>
    <row r="70" spans="2:11" ht="22.5" customHeight="1" thickBot="1" x14ac:dyDescent="0.3">
      <c r="B70" s="311" t="s">
        <v>20</v>
      </c>
      <c r="C70" s="312"/>
      <c r="D70" s="312"/>
      <c r="E70" s="313"/>
      <c r="F70" s="314"/>
      <c r="G70" s="315">
        <f>SUM(G67:G68)</f>
        <v>0</v>
      </c>
      <c r="H70" s="315">
        <f>SUM(H67:H68)</f>
        <v>0</v>
      </c>
      <c r="I70" s="255"/>
      <c r="J70" s="256"/>
    </row>
    <row r="71" spans="2:11" ht="22.5" customHeight="1" x14ac:dyDescent="0.25">
      <c r="B71" s="316" t="s">
        <v>24</v>
      </c>
      <c r="C71" s="317">
        <v>0.2</v>
      </c>
      <c r="D71" s="317"/>
      <c r="E71" s="318"/>
      <c r="F71" s="319"/>
      <c r="G71" s="320">
        <f>G70*C71</f>
        <v>0</v>
      </c>
      <c r="H71" s="321">
        <f>H70*C71</f>
        <v>0</v>
      </c>
      <c r="I71" s="257"/>
      <c r="J71" s="258"/>
    </row>
    <row r="72" spans="2:11" ht="25.5" customHeight="1" thickBot="1" x14ac:dyDescent="0.3">
      <c r="B72" s="322" t="s">
        <v>43</v>
      </c>
      <c r="C72" s="323"/>
      <c r="D72" s="323"/>
      <c r="E72" s="323"/>
      <c r="F72" s="324"/>
      <c r="G72" s="325">
        <f>SUM(G70:G71)</f>
        <v>0</v>
      </c>
      <c r="H72" s="325">
        <f>SUM(H70:H71)</f>
        <v>0</v>
      </c>
      <c r="I72" s="259"/>
      <c r="J72" s="260"/>
    </row>
    <row r="74" spans="2:11" x14ac:dyDescent="0.25">
      <c r="H74" s="103"/>
    </row>
    <row r="77" spans="2:11" x14ac:dyDescent="0.25">
      <c r="H77" s="105"/>
    </row>
    <row r="78" spans="2:11" x14ac:dyDescent="0.25">
      <c r="H78" s="104"/>
    </row>
  </sheetData>
  <sheetProtection algorithmName="SHA-512" hashValue="xNNecydQAG5+MAXkbKP52lNV1FoayECveILh0tFvg1sLuIEobXnGllzJ9b8ZuUe+46x2zGyI2IHOu3SU/IsgRQ==" saltValue="6AZ7XDi+zzx35EYArKqN/Q==" spinCount="100000" sheet="1" formatCells="0" formatColumns="0" formatRows="0" insertColumns="0" insertRows="0" insertHyperlinks="0" deleteColumns="0" deleteRows="0" sort="0" autoFilter="0" pivotTables="0"/>
  <mergeCells count="9">
    <mergeCell ref="B40:B41"/>
    <mergeCell ref="J41:J48"/>
    <mergeCell ref="C1:F1"/>
    <mergeCell ref="C3:F3"/>
    <mergeCell ref="C4:F4"/>
    <mergeCell ref="C5:F5"/>
    <mergeCell ref="C6:F6"/>
    <mergeCell ref="C7:F7"/>
    <mergeCell ref="C2:F2"/>
  </mergeCells>
  <phoneticPr fontId="14" type="noConversion"/>
  <conditionalFormatting sqref="I65">
    <cfRule type="cellIs" dxfId="76" priority="3" operator="lessThan">
      <formula>0.08</formula>
    </cfRule>
    <cfRule type="cellIs" dxfId="75" priority="4" operator="greaterThan">
      <formula>0.08</formula>
    </cfRule>
  </conditionalFormatting>
  <conditionalFormatting sqref="I68">
    <cfRule type="cellIs" dxfId="74" priority="1" operator="lessThan">
      <formula>0.03</formula>
    </cfRule>
    <cfRule type="cellIs" dxfId="73" priority="2" operator="greaterThan">
      <formula>0.03</formula>
    </cfRule>
  </conditionalFormatting>
  <pageMargins left="0.70866141732283472" right="0.11811023622047245" top="0.74803149606299213" bottom="0.74803149606299213" header="0.31496062992125984" footer="0.31496062992125984"/>
  <pageSetup paperSize="9" scale="42" orientation="landscape" horizontalDpi="4294967295" verticalDpi="4294967295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300-000000000000}">
          <x14:formula1>
            <xm:f>'Статистическая ЗП'!$W$5:$W$30</xm:f>
          </x14:formula1>
          <xm:sqref>C5:D5</xm:sqref>
        </x14:dataValidation>
        <x14:dataValidation type="list" allowBlank="1" showInputMessage="1" showErrorMessage="1" xr:uid="{00000000-0002-0000-0300-000001000000}">
          <x14:formula1>
            <xm:f>'Статистическая ЗП'!$M$5:$M$89</xm:f>
          </x14:formula1>
          <xm:sqref>C4:D4</xm:sqref>
        </x14:dataValidation>
        <x14:dataValidation type="list" allowBlank="1" showInputMessage="1" showErrorMessage="1" xr:uid="{00000000-0002-0000-0300-000002000000}">
          <x14:formula1>
            <xm:f>'Расчет ФОТ'!$B$46:$B$60</xm:f>
          </x14:formula1>
          <xm:sqref>D18:D21 D23:D30 D32:D39 D42:D48 D51:D55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E65"/>
  <sheetViews>
    <sheetView showGridLines="0" zoomScale="75" zoomScaleNormal="75" zoomScaleSheetLayoutView="5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1" sqref="J11"/>
    </sheetView>
  </sheetViews>
  <sheetFormatPr defaultColWidth="9.140625" defaultRowHeight="15.75" x14ac:dyDescent="0.25"/>
  <cols>
    <col min="1" max="1" width="3.28515625" style="115" customWidth="1"/>
    <col min="2" max="2" width="34.42578125" style="153" customWidth="1"/>
    <col min="3" max="3" width="11.28515625" style="115" bestFit="1" customWidth="1"/>
    <col min="4" max="4" width="24.7109375" style="115" customWidth="1"/>
    <col min="5" max="5" width="18.7109375" style="115" customWidth="1"/>
    <col min="6" max="6" width="22.42578125" style="115" bestFit="1" customWidth="1"/>
    <col min="7" max="7" width="13" style="115" customWidth="1"/>
    <col min="8" max="10" width="11" style="115" customWidth="1"/>
    <col min="11" max="21" width="15.42578125" style="115" customWidth="1"/>
    <col min="22" max="23" width="15.28515625" style="115" customWidth="1"/>
    <col min="24" max="26" width="15.42578125" style="115" customWidth="1"/>
    <col min="27" max="28" width="14.85546875" style="115" customWidth="1"/>
    <col min="29" max="30" width="9.140625" style="115"/>
    <col min="31" max="31" width="11" style="115" customWidth="1"/>
    <col min="32" max="16384" width="9.140625" style="115"/>
  </cols>
  <sheetData>
    <row r="1" spans="2:31" ht="16.5" thickBot="1" x14ac:dyDescent="0.3"/>
    <row r="2" spans="2:31" ht="15.75" customHeight="1" x14ac:dyDescent="0.25">
      <c r="B2" s="384"/>
      <c r="C2" s="387" t="s">
        <v>227</v>
      </c>
      <c r="D2" s="388"/>
      <c r="E2" s="388"/>
      <c r="F2" s="388"/>
      <c r="G2" s="388"/>
      <c r="H2" s="388"/>
      <c r="I2" s="388"/>
      <c r="J2" s="389"/>
      <c r="K2" s="407" t="s">
        <v>234</v>
      </c>
      <c r="L2" s="407"/>
      <c r="M2" s="407"/>
      <c r="N2" s="407"/>
      <c r="O2" s="407"/>
      <c r="P2" s="408"/>
      <c r="Q2" s="387" t="s">
        <v>312</v>
      </c>
      <c r="R2" s="388"/>
      <c r="S2" s="388"/>
      <c r="T2" s="388"/>
      <c r="U2" s="388"/>
      <c r="V2" s="388"/>
      <c r="W2" s="388"/>
      <c r="X2" s="415" t="s">
        <v>315</v>
      </c>
      <c r="Y2" s="403" t="s">
        <v>243</v>
      </c>
      <c r="Z2" s="417" t="s">
        <v>242</v>
      </c>
      <c r="AA2" s="411" t="s">
        <v>241</v>
      </c>
      <c r="AB2" s="413" t="s">
        <v>229</v>
      </c>
    </row>
    <row r="3" spans="2:31" x14ac:dyDescent="0.25">
      <c r="B3" s="385"/>
      <c r="C3" s="390"/>
      <c r="D3" s="391"/>
      <c r="E3" s="391"/>
      <c r="F3" s="391"/>
      <c r="G3" s="391"/>
      <c r="H3" s="391"/>
      <c r="I3" s="391"/>
      <c r="J3" s="392"/>
      <c r="K3" s="398" t="s">
        <v>239</v>
      </c>
      <c r="L3" s="399"/>
      <c r="M3" s="399"/>
      <c r="N3" s="400" t="s">
        <v>238</v>
      </c>
      <c r="O3" s="401"/>
      <c r="P3" s="402"/>
      <c r="Q3" s="390"/>
      <c r="R3" s="391"/>
      <c r="S3" s="391"/>
      <c r="T3" s="391"/>
      <c r="U3" s="391"/>
      <c r="V3" s="391"/>
      <c r="W3" s="391"/>
      <c r="X3" s="416"/>
      <c r="Y3" s="399"/>
      <c r="Z3" s="418"/>
      <c r="AA3" s="412"/>
      <c r="AB3" s="414"/>
    </row>
    <row r="4" spans="2:31" ht="96.75" customHeight="1" x14ac:dyDescent="0.25">
      <c r="B4" s="385"/>
      <c r="C4" s="393" t="s">
        <v>28</v>
      </c>
      <c r="D4" s="394" t="s">
        <v>247</v>
      </c>
      <c r="E4" s="383" t="s">
        <v>14</v>
      </c>
      <c r="F4" s="383" t="s">
        <v>293</v>
      </c>
      <c r="G4" s="382" t="s">
        <v>61</v>
      </c>
      <c r="H4" s="382" t="s">
        <v>62</v>
      </c>
      <c r="I4" s="383" t="s">
        <v>15</v>
      </c>
      <c r="J4" s="380" t="s">
        <v>63</v>
      </c>
      <c r="K4" s="405" t="s">
        <v>235</v>
      </c>
      <c r="L4" s="396" t="s">
        <v>236</v>
      </c>
      <c r="M4" s="396" t="s">
        <v>237</v>
      </c>
      <c r="N4" s="396" t="s">
        <v>240</v>
      </c>
      <c r="O4" s="396" t="s">
        <v>314</v>
      </c>
      <c r="P4" s="380" t="s">
        <v>313</v>
      </c>
      <c r="Q4" s="409" t="s">
        <v>230</v>
      </c>
      <c r="R4" s="396" t="s">
        <v>231</v>
      </c>
      <c r="S4" s="396" t="s">
        <v>232</v>
      </c>
      <c r="T4" s="332" t="s">
        <v>233</v>
      </c>
      <c r="U4" s="396" t="s">
        <v>19</v>
      </c>
      <c r="V4" s="193" t="s">
        <v>288</v>
      </c>
      <c r="W4" s="334" t="s">
        <v>289</v>
      </c>
      <c r="X4" s="393" t="s">
        <v>228</v>
      </c>
      <c r="Y4" s="383"/>
      <c r="Z4" s="404"/>
      <c r="AA4" s="412"/>
      <c r="AB4" s="414"/>
    </row>
    <row r="5" spans="2:31" ht="34.5" customHeight="1" x14ac:dyDescent="0.25">
      <c r="B5" s="386"/>
      <c r="C5" s="393"/>
      <c r="D5" s="395"/>
      <c r="E5" s="383"/>
      <c r="F5" s="383"/>
      <c r="G5" s="382"/>
      <c r="H5" s="382"/>
      <c r="I5" s="383"/>
      <c r="J5" s="381"/>
      <c r="K5" s="406"/>
      <c r="L5" s="397"/>
      <c r="M5" s="397"/>
      <c r="N5" s="397"/>
      <c r="O5" s="397"/>
      <c r="P5" s="381"/>
      <c r="Q5" s="410"/>
      <c r="R5" s="397"/>
      <c r="S5" s="397"/>
      <c r="T5" s="333"/>
      <c r="U5" s="397"/>
      <c r="V5" s="116">
        <v>0.30499999999999999</v>
      </c>
      <c r="W5" s="117">
        <v>0.24299999999999999</v>
      </c>
      <c r="X5" s="393"/>
      <c r="Y5" s="383"/>
      <c r="Z5" s="404"/>
      <c r="AA5" s="412"/>
      <c r="AB5" s="414"/>
    </row>
    <row r="6" spans="2:31" ht="18.75" x14ac:dyDescent="0.25">
      <c r="B6" s="154" t="s">
        <v>0</v>
      </c>
      <c r="C6" s="118"/>
      <c r="D6" s="163"/>
      <c r="E6" s="156"/>
      <c r="F6" s="156"/>
      <c r="G6" s="120"/>
      <c r="H6" s="120"/>
      <c r="I6" s="121"/>
      <c r="J6" s="122"/>
      <c r="K6" s="123"/>
      <c r="L6" s="124"/>
      <c r="M6" s="119"/>
      <c r="N6" s="121"/>
      <c r="O6" s="121"/>
      <c r="P6" s="122"/>
      <c r="Q6" s="125"/>
      <c r="R6" s="121"/>
      <c r="S6" s="121"/>
      <c r="T6" s="126"/>
      <c r="U6" s="126"/>
      <c r="V6" s="126"/>
      <c r="W6" s="127"/>
      <c r="X6" s="108">
        <f>SUM(X9:X43)</f>
        <v>0</v>
      </c>
      <c r="Y6" s="106"/>
      <c r="Z6" s="109"/>
      <c r="AA6" s="110"/>
      <c r="AB6" s="159"/>
    </row>
    <row r="7" spans="2:31" x14ac:dyDescent="0.25">
      <c r="B7" s="154" t="s">
        <v>22</v>
      </c>
      <c r="C7" s="128"/>
      <c r="D7" s="129"/>
      <c r="E7" s="111"/>
      <c r="F7" s="111"/>
      <c r="G7" s="113"/>
      <c r="H7" s="113"/>
      <c r="I7" s="113"/>
      <c r="J7" s="132">
        <f>SUM(J9:J43)</f>
        <v>0</v>
      </c>
      <c r="K7" s="129"/>
      <c r="L7" s="130"/>
      <c r="M7" s="130"/>
      <c r="N7" s="130"/>
      <c r="O7" s="131">
        <f t="shared" ref="O7:T7" si="0">SUM(O9:O43)</f>
        <v>0</v>
      </c>
      <c r="P7" s="132">
        <f t="shared" si="0"/>
        <v>0</v>
      </c>
      <c r="Q7" s="133">
        <f t="shared" si="0"/>
        <v>0</v>
      </c>
      <c r="R7" s="131">
        <f t="shared" si="0"/>
        <v>0</v>
      </c>
      <c r="S7" s="131">
        <f t="shared" si="0"/>
        <v>0</v>
      </c>
      <c r="T7" s="131">
        <f t="shared" si="0"/>
        <v>0</v>
      </c>
      <c r="U7" s="131">
        <f>SUM(U9:U44)</f>
        <v>0</v>
      </c>
      <c r="V7" s="131">
        <f>SUM(V9:V44)</f>
        <v>0</v>
      </c>
      <c r="W7" s="134">
        <f>SUM(W9:W44)</f>
        <v>0</v>
      </c>
      <c r="X7" s="135"/>
      <c r="Y7" s="130"/>
      <c r="Z7" s="136"/>
      <c r="AA7" s="137"/>
      <c r="AB7" s="160"/>
    </row>
    <row r="8" spans="2:31" x14ac:dyDescent="0.25">
      <c r="B8" s="155"/>
      <c r="C8" s="138"/>
      <c r="D8" s="164"/>
      <c r="E8" s="107"/>
      <c r="F8" s="107"/>
      <c r="G8" s="113"/>
      <c r="H8" s="113"/>
      <c r="I8" s="113"/>
      <c r="J8" s="136"/>
      <c r="K8" s="129"/>
      <c r="L8" s="130"/>
      <c r="M8" s="130"/>
      <c r="N8" s="139"/>
      <c r="O8" s="130"/>
      <c r="P8" s="136"/>
      <c r="Q8" s="135"/>
      <c r="R8" s="130"/>
      <c r="S8" s="130"/>
      <c r="T8" s="130"/>
      <c r="U8" s="130"/>
      <c r="V8" s="130"/>
      <c r="W8" s="140"/>
      <c r="X8" s="135"/>
      <c r="Y8" s="130"/>
      <c r="Z8" s="136"/>
      <c r="AA8" s="137"/>
      <c r="AB8" s="160"/>
    </row>
    <row r="9" spans="2:31" x14ac:dyDescent="0.25">
      <c r="B9" s="112"/>
      <c r="C9" s="128"/>
      <c r="D9" s="165"/>
      <c r="E9" s="111"/>
      <c r="F9" s="111"/>
      <c r="G9" s="141"/>
      <c r="H9" s="141"/>
      <c r="I9" s="141"/>
      <c r="J9" s="136">
        <f>I9*H9*G9*C9</f>
        <v>0</v>
      </c>
      <c r="K9" s="142"/>
      <c r="L9" s="130">
        <f t="shared" ref="L9:L43" si="1">IF(H9&gt;0,K9/H9,)</f>
        <v>0</v>
      </c>
      <c r="M9" s="130">
        <f t="shared" ref="M9:M43" si="2">IF(G9&gt;0,L9/G9,)</f>
        <v>0</v>
      </c>
      <c r="N9" s="130">
        <f>C9*K9</f>
        <v>0</v>
      </c>
      <c r="O9" s="130">
        <f t="shared" ref="O9:O43" si="3">N9*I9</f>
        <v>0</v>
      </c>
      <c r="P9" s="136">
        <f t="shared" ref="P9:P43" si="4">O9/0.87</f>
        <v>0</v>
      </c>
      <c r="Q9" s="348"/>
      <c r="R9" s="349">
        <f t="shared" ref="R9:R43" si="5">IF(J9&gt;0,(P9+Q9)/J9/29.3*28*100%/12*J9,0)</f>
        <v>0</v>
      </c>
      <c r="S9" s="141"/>
      <c r="T9" s="130">
        <f>SUM(P9:S9)*2/730*3</f>
        <v>0</v>
      </c>
      <c r="U9" s="130">
        <f t="shared" ref="U9:U43" si="6">SUM(P9:T9)*13%</f>
        <v>0</v>
      </c>
      <c r="V9" s="130">
        <f>IF(OR(F9=$B$63,F9=$B$65),IF(P9/I9/C9&gt;'Статистическая ЗП'!$N$5,IF(Калькуляция!$C$2='Статистическая ЗП'!$X$5,SUM('Расчет ФОТ'!P9:S9)*15.5%+'Расчет ФОТ'!C9*'Расчет ФОТ'!I9*'Статистическая ЗП'!$N$5*('Расчет ФОТ'!$V$5-15.5%),SUM(P9:S9)*$V$5),SUM('Расчет ФОТ'!P9:S9)*'Расчет ФОТ'!$V$5),0)</f>
        <v>0</v>
      </c>
      <c r="W9" s="130">
        <f>IF(F9=$B$64,IF(P9/I9/C9&gt;'Статистическая ЗП'!$N$5,IF(Калькуляция!$C$2='Статистическая ЗП'!$X$5,SUM('Расчет ФОТ'!P9:S9)*10.5%+'Расчет ФОТ'!C9*'Расчет ФОТ'!I9*'Статистическая ЗП'!$N$5*('Расчет ФОТ'!$W$5-10.5%),SUM(P9:S9)*$W$5),SUM('Расчет ФОТ'!P9:S9)*'Расчет ФОТ'!$W$5),0)</f>
        <v>0</v>
      </c>
      <c r="X9" s="135">
        <f>SUM(P9:T9,V9:W9)</f>
        <v>0</v>
      </c>
      <c r="Y9" s="130">
        <f>IF(I9&gt;0,X9/I9,0)</f>
        <v>0</v>
      </c>
      <c r="Z9" s="143">
        <f t="shared" ref="Z9:Z43" si="7">IF(J9&gt;0,X9/J9,)</f>
        <v>0</v>
      </c>
      <c r="AA9" s="157" t="str">
        <f>IF(Z9&gt;0,IF(Калькуляция!$C$2='Статистическая ЗП'!$X$5,IF(OR(F9=$B$63,F9=$B$65),VLOOKUP(Калькуляция!$C$4,'Статистическая ЗП'!$M$5:$U$89,8,FALSE),VLOOKUP(Калькуляция!$C$4,'Статистическая ЗП'!$M$5:$U$89,9,FALSE)),IF(OR(F9=$B$63,F9=$B$65),VLOOKUP(Калькуляция!$C$4,'Статистическая ЗП'!$M$5:$U$89,6,FALSE),VLOOKUP(Калькуляция!$C$4,'Статистическая ЗП'!$M$5:$U$89,7,FALSE))),"")</f>
        <v/>
      </c>
      <c r="AB9" s="161" t="str">
        <f>IF(Z9&gt;0,(Z9-AA9)/AA9,"")</f>
        <v/>
      </c>
      <c r="AE9" s="194">
        <f>(2100+1040)/12*I9*C9</f>
        <v>0</v>
      </c>
    </row>
    <row r="10" spans="2:31" x14ac:dyDescent="0.25">
      <c r="B10" s="112"/>
      <c r="C10" s="128"/>
      <c r="D10" s="165"/>
      <c r="E10" s="111"/>
      <c r="F10" s="111"/>
      <c r="G10" s="141"/>
      <c r="H10" s="141"/>
      <c r="I10" s="141"/>
      <c r="J10" s="136">
        <f t="shared" ref="J10:J43" si="8">I10*H10*G10*C10</f>
        <v>0</v>
      </c>
      <c r="K10" s="142"/>
      <c r="L10" s="130">
        <f t="shared" si="1"/>
        <v>0</v>
      </c>
      <c r="M10" s="130">
        <f t="shared" si="2"/>
        <v>0</v>
      </c>
      <c r="N10" s="130">
        <f>C10*K10</f>
        <v>0</v>
      </c>
      <c r="O10" s="130">
        <f t="shared" si="3"/>
        <v>0</v>
      </c>
      <c r="P10" s="136">
        <f t="shared" si="4"/>
        <v>0</v>
      </c>
      <c r="Q10" s="348">
        <f t="shared" ref="Q10:Q43" si="9">IF(L10&gt;0,L10/0.87*14/30*H10/12*I10*C10,)</f>
        <v>0</v>
      </c>
      <c r="R10" s="349">
        <f>IF(J10&gt;0,(P10+Q10)/J10/29.3*28*100%/12*J10,0)</f>
        <v>0</v>
      </c>
      <c r="S10" s="141"/>
      <c r="T10" s="130">
        <f t="shared" ref="T10:T43" si="10">SUM(P10:S10)*2/730*3</f>
        <v>0</v>
      </c>
      <c r="U10" s="130">
        <f t="shared" si="6"/>
        <v>0</v>
      </c>
      <c r="V10" s="130">
        <f>IF(OR(F10=$B$63,F10=$B$65),IF(P10/I10/C10&gt;'Статистическая ЗП'!$N$5,IF(Калькуляция!$C$2='Статистическая ЗП'!$X$5,SUM('Расчет ФОТ'!P10:S10)*15.5%+'Расчет ФОТ'!C10*'Расчет ФОТ'!I10*'Статистическая ЗП'!$N$5*('Расчет ФОТ'!$V$5-15.5%),SUM(P10:S10)*$V$5),SUM('Расчет ФОТ'!P10:S10)*'Расчет ФОТ'!$V$5),0)</f>
        <v>0</v>
      </c>
      <c r="W10" s="130">
        <f>IF(F10=$B$64,IF(P10/I10/C10&gt;'Статистическая ЗП'!$N$5,IF(Калькуляция!$C$2='Статистическая ЗП'!$X$5,SUM('Расчет ФОТ'!P10:S10)*10.5%+'Расчет ФОТ'!C10*'Расчет ФОТ'!I10*'Статистическая ЗП'!$N$5*('Расчет ФОТ'!$W$5-10.5%),SUM(P10:S10)*$W$5),SUM('Расчет ФОТ'!P10:S10)*'Расчет ФОТ'!$W$5),0)</f>
        <v>0</v>
      </c>
      <c r="X10" s="135">
        <f t="shared" ref="X10:X43" si="11">SUM(P10:T10,V10:W10)</f>
        <v>0</v>
      </c>
      <c r="Y10" s="130">
        <f t="shared" ref="Y10:Y43" si="12">IF(I10&gt;0,X10/I10,0)</f>
        <v>0</v>
      </c>
      <c r="Z10" s="143">
        <f t="shared" si="7"/>
        <v>0</v>
      </c>
      <c r="AA10" s="157" t="str">
        <f>IF(Z10&gt;0,IF(Калькуляция!$C$2='Статистическая ЗП'!$X$5,IF(OR(F10=$B$63,F10=$B$65),VLOOKUP(Калькуляция!$C$4,'Статистическая ЗП'!$M$5:$U$89,8,FALSE),VLOOKUP(Калькуляция!$C$4,'Статистическая ЗП'!$M$5:$U$89,9,FALSE)),IF(OR(F10=$B$63,F10=$B$65),VLOOKUP(Калькуляция!$C$4,'Статистическая ЗП'!$M$5:$U$89,6,FALSE),VLOOKUP(Калькуляция!$C$4,'Статистическая ЗП'!$M$5:$U$89,7,FALSE))),"")</f>
        <v/>
      </c>
      <c r="AB10" s="161" t="str">
        <f t="shared" ref="AB10:AB43" si="13">IF(Z10&gt;0,(Z10-AA10)/AA10,"")</f>
        <v/>
      </c>
      <c r="AE10" s="194">
        <f t="shared" ref="AE10:AE43" si="14">(2100+1040)/12*I10*C10</f>
        <v>0</v>
      </c>
    </row>
    <row r="11" spans="2:31" x14ac:dyDescent="0.25">
      <c r="B11" s="112"/>
      <c r="C11" s="128"/>
      <c r="D11" s="165"/>
      <c r="E11" s="111"/>
      <c r="F11" s="111"/>
      <c r="G11" s="113"/>
      <c r="H11" s="113"/>
      <c r="I11" s="113"/>
      <c r="J11" s="136">
        <f t="shared" si="8"/>
        <v>0</v>
      </c>
      <c r="K11" s="144"/>
      <c r="L11" s="130">
        <f t="shared" si="1"/>
        <v>0</v>
      </c>
      <c r="M11" s="130">
        <f t="shared" si="2"/>
        <v>0</v>
      </c>
      <c r="N11" s="130">
        <f>C11*K11</f>
        <v>0</v>
      </c>
      <c r="O11" s="130">
        <f t="shared" si="3"/>
        <v>0</v>
      </c>
      <c r="P11" s="136">
        <f t="shared" si="4"/>
        <v>0</v>
      </c>
      <c r="Q11" s="348">
        <f t="shared" si="9"/>
        <v>0</v>
      </c>
      <c r="R11" s="349">
        <f>IF(J11&gt;0,(P11+Q11)/J11/29.3*28*100%/12*J11,0)</f>
        <v>0</v>
      </c>
      <c r="S11" s="141"/>
      <c r="T11" s="130">
        <f t="shared" si="10"/>
        <v>0</v>
      </c>
      <c r="U11" s="130">
        <f t="shared" si="6"/>
        <v>0</v>
      </c>
      <c r="V11" s="130">
        <f>IF(OR(F11=$B$63,F11=$B$65),IF(P11/I11/C11&gt;'Статистическая ЗП'!$N$5,IF(Калькуляция!$C$2='Статистическая ЗП'!$X$5,SUM('Расчет ФОТ'!P11:S11)*15.5%+'Расчет ФОТ'!C11*'Расчет ФОТ'!I11*'Статистическая ЗП'!$N$5*('Расчет ФОТ'!$V$5-15.5%),SUM(P11:S11)*$V$5),SUM('Расчет ФОТ'!P11:S11)*'Расчет ФОТ'!$V$5),0)</f>
        <v>0</v>
      </c>
      <c r="W11" s="130">
        <f>IF(F11=$B$64,IF(P11/I11/C11&gt;'Статистическая ЗП'!$N$5,IF(Калькуляция!$C$2='Статистическая ЗП'!$X$5,SUM('Расчет ФОТ'!P11:S11)*10.5%+'Расчет ФОТ'!C11*'Расчет ФОТ'!I11*'Статистическая ЗП'!$N$5*('Расчет ФОТ'!$W$5-10.5%),SUM(P11:S11)*$W$5),SUM('Расчет ФОТ'!P11:S11)*'Расчет ФОТ'!$W$5),0)</f>
        <v>0</v>
      </c>
      <c r="X11" s="135">
        <f t="shared" si="11"/>
        <v>0</v>
      </c>
      <c r="Y11" s="130">
        <f t="shared" si="12"/>
        <v>0</v>
      </c>
      <c r="Z11" s="143">
        <f t="shared" si="7"/>
        <v>0</v>
      </c>
      <c r="AA11" s="157" t="str">
        <f>IF(Z11&gt;0,IF(Калькуляция!$C$2='Статистическая ЗП'!$X$5,IF(OR(F11=$B$63,F11=$B$65),VLOOKUP(Калькуляция!$C$4,'Статистическая ЗП'!$M$5:$U$89,8,FALSE),VLOOKUP(Калькуляция!$C$4,'Статистическая ЗП'!$M$5:$U$89,9,FALSE)),IF(OR(F11=$B$63,F11=$B$65),VLOOKUP(Калькуляция!$C$4,'Статистическая ЗП'!$M$5:$U$89,6,FALSE),VLOOKUP(Калькуляция!$C$4,'Статистическая ЗП'!$M$5:$U$89,7,FALSE))),"")</f>
        <v/>
      </c>
      <c r="AB11" s="161" t="str">
        <f t="shared" si="13"/>
        <v/>
      </c>
      <c r="AE11" s="194">
        <f t="shared" si="14"/>
        <v>0</v>
      </c>
    </row>
    <row r="12" spans="2:31" x14ac:dyDescent="0.25">
      <c r="B12" s="112"/>
      <c r="C12" s="128"/>
      <c r="D12" s="165"/>
      <c r="E12" s="111"/>
      <c r="F12" s="111"/>
      <c r="G12" s="113"/>
      <c r="H12" s="113"/>
      <c r="I12" s="113"/>
      <c r="J12" s="136">
        <f t="shared" si="8"/>
        <v>0</v>
      </c>
      <c r="K12" s="144"/>
      <c r="L12" s="130">
        <f t="shared" si="1"/>
        <v>0</v>
      </c>
      <c r="M12" s="130">
        <f t="shared" si="2"/>
        <v>0</v>
      </c>
      <c r="N12" s="130">
        <f t="shared" ref="N12:N41" si="15">C12*K12</f>
        <v>0</v>
      </c>
      <c r="O12" s="130">
        <f t="shared" si="3"/>
        <v>0</v>
      </c>
      <c r="P12" s="136">
        <f t="shared" si="4"/>
        <v>0</v>
      </c>
      <c r="Q12" s="348">
        <f t="shared" si="9"/>
        <v>0</v>
      </c>
      <c r="R12" s="349">
        <f t="shared" si="5"/>
        <v>0</v>
      </c>
      <c r="S12" s="141"/>
      <c r="T12" s="130">
        <f t="shared" si="10"/>
        <v>0</v>
      </c>
      <c r="U12" s="130">
        <f t="shared" si="6"/>
        <v>0</v>
      </c>
      <c r="V12" s="130">
        <f>IF(OR(F12=$B$63,F12=$B$65),IF(P12/I12/C12&gt;'Статистическая ЗП'!$N$5,IF(Калькуляция!$C$2='Статистическая ЗП'!$X$5,SUM('Расчет ФОТ'!P12:S12)*15.5%+'Расчет ФОТ'!C12*'Расчет ФОТ'!I12*'Статистическая ЗП'!$N$5*('Расчет ФОТ'!$V$5-15.5%),SUM(P12:S12)*$V$5),SUM('Расчет ФОТ'!P12:S12)*'Расчет ФОТ'!$V$5),0)</f>
        <v>0</v>
      </c>
      <c r="W12" s="130">
        <f>IF(F12=$B$64,IF(P12/I12/C12&gt;'Статистическая ЗП'!$N$5,IF(Калькуляция!$C$2='Статистическая ЗП'!$X$5,SUM('Расчет ФОТ'!P12:S12)*10.5%+'Расчет ФОТ'!C12*'Расчет ФОТ'!I12*'Статистическая ЗП'!$N$5*('Расчет ФОТ'!$W$5-10.5%),SUM(P12:S12)*$W$5),SUM('Расчет ФОТ'!P12:S12)*'Расчет ФОТ'!$W$5),0)</f>
        <v>0</v>
      </c>
      <c r="X12" s="135">
        <f t="shared" si="11"/>
        <v>0</v>
      </c>
      <c r="Y12" s="130">
        <f t="shared" si="12"/>
        <v>0</v>
      </c>
      <c r="Z12" s="143">
        <f t="shared" si="7"/>
        <v>0</v>
      </c>
      <c r="AA12" s="157" t="str">
        <f>IF(Z12&gt;0,IF(Калькуляция!$C$2='Статистическая ЗП'!$X$5,IF(OR(F12=$B$63,F12=$B$65),VLOOKUP(Калькуляция!$C$4,'Статистическая ЗП'!$M$5:$U$89,8,FALSE),VLOOKUP(Калькуляция!$C$4,'Статистическая ЗП'!$M$5:$U$89,9,FALSE)),IF(OR(F12=$B$63,F12=$B$65),VLOOKUP(Калькуляция!$C$4,'Статистическая ЗП'!$M$5:$U$89,6,FALSE),VLOOKUP(Калькуляция!$C$4,'Статистическая ЗП'!$M$5:$U$89,7,FALSE))),"")</f>
        <v/>
      </c>
      <c r="AB12" s="161" t="str">
        <f t="shared" si="13"/>
        <v/>
      </c>
      <c r="AE12" s="194">
        <f t="shared" si="14"/>
        <v>0</v>
      </c>
    </row>
    <row r="13" spans="2:31" x14ac:dyDescent="0.25">
      <c r="B13" s="112"/>
      <c r="C13" s="128"/>
      <c r="D13" s="165"/>
      <c r="E13" s="111"/>
      <c r="F13" s="111"/>
      <c r="G13" s="113"/>
      <c r="H13" s="113"/>
      <c r="I13" s="113"/>
      <c r="J13" s="136">
        <f t="shared" si="8"/>
        <v>0</v>
      </c>
      <c r="K13" s="142"/>
      <c r="L13" s="130">
        <f t="shared" si="1"/>
        <v>0</v>
      </c>
      <c r="M13" s="130">
        <f t="shared" si="2"/>
        <v>0</v>
      </c>
      <c r="N13" s="130">
        <f t="shared" si="15"/>
        <v>0</v>
      </c>
      <c r="O13" s="130">
        <f t="shared" si="3"/>
        <v>0</v>
      </c>
      <c r="P13" s="136">
        <f t="shared" si="4"/>
        <v>0</v>
      </c>
      <c r="Q13" s="348">
        <f t="shared" si="9"/>
        <v>0</v>
      </c>
      <c r="R13" s="349">
        <f>IF(I13&gt;0,(P13+Q13)/I13/29.3*28*100%/12*I13,0)</f>
        <v>0</v>
      </c>
      <c r="S13" s="141"/>
      <c r="T13" s="130">
        <f t="shared" si="10"/>
        <v>0</v>
      </c>
      <c r="U13" s="130">
        <f t="shared" si="6"/>
        <v>0</v>
      </c>
      <c r="V13" s="130">
        <f>IF(OR(F13=$B$63,F13=$B$65),IF(P13/I13/C13&gt;'Статистическая ЗП'!$N$5,IF(Калькуляция!$C$2='Статистическая ЗП'!$X$5,SUM('Расчет ФОТ'!P13:S13)*15.5%+'Расчет ФОТ'!C13*'Расчет ФОТ'!I13*'Статистическая ЗП'!$N$5*('Расчет ФОТ'!$V$5-15.5%),SUM(P13:S13)*$V$5),SUM('Расчет ФОТ'!P13:S13)*'Расчет ФОТ'!$V$5),0)</f>
        <v>0</v>
      </c>
      <c r="W13" s="130">
        <f>IF(F13=$B$64,IF(P13/I13/C13&gt;'Статистическая ЗП'!$N$5,IF(Калькуляция!$C$2='Статистическая ЗП'!$X$5,SUM('Расчет ФОТ'!P13:S13)*10.5%+'Расчет ФОТ'!C13*'Расчет ФОТ'!I13*'Статистическая ЗП'!$N$5*('Расчет ФОТ'!$W$5-10.5%),SUM(P13:S13)*$W$5),SUM('Расчет ФОТ'!P13:S13)*'Расчет ФОТ'!$W$5),0)</f>
        <v>0</v>
      </c>
      <c r="X13" s="135">
        <f t="shared" si="11"/>
        <v>0</v>
      </c>
      <c r="Y13" s="130">
        <f t="shared" si="12"/>
        <v>0</v>
      </c>
      <c r="Z13" s="143">
        <f t="shared" si="7"/>
        <v>0</v>
      </c>
      <c r="AA13" s="157" t="str">
        <f>IF(Z13&gt;0,IF(Калькуляция!$C$2='Статистическая ЗП'!$X$5,IF(OR(F13=$B$63,F13=$B$65),VLOOKUP(Калькуляция!$C$4,'Статистическая ЗП'!$M$5:$U$89,8,FALSE),VLOOKUP(Калькуляция!$C$4,'Статистическая ЗП'!$M$5:$U$89,9,FALSE)),IF(OR(F13=$B$63,F13=$B$65),VLOOKUP(Калькуляция!$C$4,'Статистическая ЗП'!$M$5:$U$89,6,FALSE),VLOOKUP(Калькуляция!$C$4,'Статистическая ЗП'!$M$5:$U$89,7,FALSE))),"")</f>
        <v/>
      </c>
      <c r="AB13" s="161" t="str">
        <f t="shared" si="13"/>
        <v/>
      </c>
      <c r="AE13" s="194">
        <f t="shared" si="14"/>
        <v>0</v>
      </c>
    </row>
    <row r="14" spans="2:31" x14ac:dyDescent="0.25">
      <c r="B14" s="112"/>
      <c r="C14" s="128"/>
      <c r="D14" s="165"/>
      <c r="E14" s="111"/>
      <c r="F14" s="111"/>
      <c r="G14" s="113"/>
      <c r="H14" s="113"/>
      <c r="I14" s="113"/>
      <c r="J14" s="136">
        <f t="shared" si="8"/>
        <v>0</v>
      </c>
      <c r="K14" s="142"/>
      <c r="L14" s="130">
        <f t="shared" si="1"/>
        <v>0</v>
      </c>
      <c r="M14" s="130">
        <f t="shared" si="2"/>
        <v>0</v>
      </c>
      <c r="N14" s="130">
        <f t="shared" si="15"/>
        <v>0</v>
      </c>
      <c r="O14" s="130">
        <f t="shared" si="3"/>
        <v>0</v>
      </c>
      <c r="P14" s="136">
        <f t="shared" si="4"/>
        <v>0</v>
      </c>
      <c r="Q14" s="348">
        <f t="shared" si="9"/>
        <v>0</v>
      </c>
      <c r="R14" s="349">
        <f t="shared" si="5"/>
        <v>0</v>
      </c>
      <c r="S14" s="141"/>
      <c r="T14" s="130">
        <f t="shared" si="10"/>
        <v>0</v>
      </c>
      <c r="U14" s="130">
        <f t="shared" si="6"/>
        <v>0</v>
      </c>
      <c r="V14" s="130">
        <f>IF(OR(F14=$B$63,F14=$B$65),IF(P14/I14/C14&gt;'Статистическая ЗП'!$N$5,IF(Калькуляция!$C$2='Статистическая ЗП'!$X$5,SUM('Расчет ФОТ'!P14:S14)*15.5%+'Расчет ФОТ'!C14*'Расчет ФОТ'!I14*'Статистическая ЗП'!$N$5*('Расчет ФОТ'!$V$5-15.5%),SUM(P14:S14)*$V$5),SUM('Расчет ФОТ'!P14:S14)*'Расчет ФОТ'!$V$5),0)</f>
        <v>0</v>
      </c>
      <c r="W14" s="130">
        <f>IF(F14=$B$64,IF(P14/I14/C14&gt;'Статистическая ЗП'!$N$5,IF(Калькуляция!$C$2='Статистическая ЗП'!$X$5,SUM('Расчет ФОТ'!P14:S14)*10.5%+'Расчет ФОТ'!C14*'Расчет ФОТ'!I14*'Статистическая ЗП'!$N$5*('Расчет ФОТ'!$W$5-10.5%),SUM(P14:S14)*$W$5),SUM('Расчет ФОТ'!P14:S14)*'Расчет ФОТ'!$W$5),0)</f>
        <v>0</v>
      </c>
      <c r="X14" s="135">
        <f t="shared" si="11"/>
        <v>0</v>
      </c>
      <c r="Y14" s="130">
        <f t="shared" si="12"/>
        <v>0</v>
      </c>
      <c r="Z14" s="143">
        <f t="shared" si="7"/>
        <v>0</v>
      </c>
      <c r="AA14" s="157" t="str">
        <f>IF(Z14&gt;0,IF(Калькуляция!$C$2='Статистическая ЗП'!$X$5,IF(OR(F14=$B$63,F14=$B$65),VLOOKUP(Калькуляция!$C$4,'Статистическая ЗП'!$M$5:$U$89,8,FALSE),VLOOKUP(Калькуляция!$C$4,'Статистическая ЗП'!$M$5:$U$89,9,FALSE)),IF(OR(F14=$B$63,F14=$B$65),VLOOKUP(Калькуляция!$C$4,'Статистическая ЗП'!$M$5:$U$89,6,FALSE),VLOOKUP(Калькуляция!$C$4,'Статистическая ЗП'!$M$5:$U$89,7,FALSE))),"")</f>
        <v/>
      </c>
      <c r="AB14" s="161" t="str">
        <f t="shared" si="13"/>
        <v/>
      </c>
      <c r="AE14" s="194">
        <f t="shared" si="14"/>
        <v>0</v>
      </c>
    </row>
    <row r="15" spans="2:31" x14ac:dyDescent="0.25">
      <c r="B15" s="112"/>
      <c r="C15" s="128"/>
      <c r="D15" s="165"/>
      <c r="E15" s="111"/>
      <c r="F15" s="111"/>
      <c r="G15" s="113"/>
      <c r="H15" s="113"/>
      <c r="I15" s="113"/>
      <c r="J15" s="136">
        <f t="shared" si="8"/>
        <v>0</v>
      </c>
      <c r="K15" s="142"/>
      <c r="L15" s="130">
        <f t="shared" si="1"/>
        <v>0</v>
      </c>
      <c r="M15" s="130">
        <f t="shared" si="2"/>
        <v>0</v>
      </c>
      <c r="N15" s="130">
        <f t="shared" si="15"/>
        <v>0</v>
      </c>
      <c r="O15" s="130">
        <f t="shared" si="3"/>
        <v>0</v>
      </c>
      <c r="P15" s="136">
        <f t="shared" si="4"/>
        <v>0</v>
      </c>
      <c r="Q15" s="348">
        <f t="shared" si="9"/>
        <v>0</v>
      </c>
      <c r="R15" s="349">
        <f t="shared" si="5"/>
        <v>0</v>
      </c>
      <c r="S15" s="141"/>
      <c r="T15" s="130">
        <f t="shared" si="10"/>
        <v>0</v>
      </c>
      <c r="U15" s="130">
        <f t="shared" si="6"/>
        <v>0</v>
      </c>
      <c r="V15" s="130">
        <f>IF(OR(F15=$B$63,F15=$B$65),IF(P15/I15/C15&gt;'Статистическая ЗП'!$N$5,IF(Калькуляция!$C$2='Статистическая ЗП'!$X$5,SUM('Расчет ФОТ'!P15:S15)*15.5%+'Расчет ФОТ'!C15*'Расчет ФОТ'!I15*'Статистическая ЗП'!$N$5*('Расчет ФОТ'!$V$5-15.5%),SUM(P15:S15)*$V$5),SUM('Расчет ФОТ'!P15:S15)*'Расчет ФОТ'!$V$5),0)</f>
        <v>0</v>
      </c>
      <c r="W15" s="130">
        <f>IF(F15=$B$64,IF(P15/I15/C15&gt;'Статистическая ЗП'!$N$5,IF(Калькуляция!$C$2='Статистическая ЗП'!$X$5,SUM('Расчет ФОТ'!P15:S15)*10.5%+'Расчет ФОТ'!C15*'Расчет ФОТ'!I15*'Статистическая ЗП'!$N$5*('Расчет ФОТ'!$W$5-10.5%),SUM(P15:S15)*$W$5),SUM('Расчет ФОТ'!P15:S15)*'Расчет ФОТ'!$W$5),0)</f>
        <v>0</v>
      </c>
      <c r="X15" s="135">
        <f t="shared" si="11"/>
        <v>0</v>
      </c>
      <c r="Y15" s="130">
        <f t="shared" si="12"/>
        <v>0</v>
      </c>
      <c r="Z15" s="143">
        <f t="shared" si="7"/>
        <v>0</v>
      </c>
      <c r="AA15" s="157" t="str">
        <f>IF(Z15&gt;0,IF(Калькуляция!$C$2='Статистическая ЗП'!$X$5,IF(OR(F15=$B$63,F15=$B$65),VLOOKUP(Калькуляция!$C$4,'Статистическая ЗП'!$M$5:$U$89,8,FALSE),VLOOKUP(Калькуляция!$C$4,'Статистическая ЗП'!$M$5:$U$89,9,FALSE)),IF(OR(F15=$B$63,F15=$B$65),VLOOKUP(Калькуляция!$C$4,'Статистическая ЗП'!$M$5:$U$89,6,FALSE),VLOOKUP(Калькуляция!$C$4,'Статистическая ЗП'!$M$5:$U$89,7,FALSE))),"")</f>
        <v/>
      </c>
      <c r="AB15" s="161" t="str">
        <f t="shared" si="13"/>
        <v/>
      </c>
      <c r="AE15" s="194">
        <f t="shared" si="14"/>
        <v>0</v>
      </c>
    </row>
    <row r="16" spans="2:31" x14ac:dyDescent="0.25">
      <c r="B16" s="112"/>
      <c r="C16" s="128"/>
      <c r="D16" s="165"/>
      <c r="E16" s="111"/>
      <c r="F16" s="111"/>
      <c r="G16" s="113"/>
      <c r="H16" s="113"/>
      <c r="I16" s="113"/>
      <c r="J16" s="136">
        <f t="shared" si="8"/>
        <v>0</v>
      </c>
      <c r="K16" s="142"/>
      <c r="L16" s="130">
        <f t="shared" si="1"/>
        <v>0</v>
      </c>
      <c r="M16" s="130">
        <f t="shared" si="2"/>
        <v>0</v>
      </c>
      <c r="N16" s="130">
        <f t="shared" si="15"/>
        <v>0</v>
      </c>
      <c r="O16" s="130">
        <f t="shared" si="3"/>
        <v>0</v>
      </c>
      <c r="P16" s="136">
        <f t="shared" si="4"/>
        <v>0</v>
      </c>
      <c r="Q16" s="348">
        <f t="shared" si="9"/>
        <v>0</v>
      </c>
      <c r="R16" s="349">
        <f t="shared" si="5"/>
        <v>0</v>
      </c>
      <c r="S16" s="141"/>
      <c r="T16" s="130">
        <f t="shared" si="10"/>
        <v>0</v>
      </c>
      <c r="U16" s="130">
        <f t="shared" si="6"/>
        <v>0</v>
      </c>
      <c r="V16" s="130">
        <f>IF(OR(F16=$B$63,F16=$B$65),IF(P16/I16/C16&gt;'Статистическая ЗП'!$N$5,IF(Калькуляция!$C$2='Статистическая ЗП'!$X$5,SUM('Расчет ФОТ'!P16:S16)*15.5%+'Расчет ФОТ'!C16*'Расчет ФОТ'!I16*'Статистическая ЗП'!$N$5*('Расчет ФОТ'!$V$5-15.5%),SUM(P16:S16)*$V$5),SUM('Расчет ФОТ'!P16:S16)*'Расчет ФОТ'!$V$5),0)</f>
        <v>0</v>
      </c>
      <c r="W16" s="130">
        <f>IF(F16=$B$64,IF(P16/I16/C16&gt;'Статистическая ЗП'!$N$5,IF(Калькуляция!$C$2='Статистическая ЗП'!$X$5,SUM('Расчет ФОТ'!P16:S16)*10.5%+'Расчет ФОТ'!C16*'Расчет ФОТ'!I16*'Статистическая ЗП'!$N$5*('Расчет ФОТ'!$W$5-10.5%),SUM(P16:S16)*$W$5),SUM('Расчет ФОТ'!P16:S16)*'Расчет ФОТ'!$W$5),0)</f>
        <v>0</v>
      </c>
      <c r="X16" s="135">
        <f t="shared" si="11"/>
        <v>0</v>
      </c>
      <c r="Y16" s="130">
        <f t="shared" si="12"/>
        <v>0</v>
      </c>
      <c r="Z16" s="143">
        <f t="shared" si="7"/>
        <v>0</v>
      </c>
      <c r="AA16" s="157" t="str">
        <f>IF(Z16&gt;0,IF(Калькуляция!$C$2='Статистическая ЗП'!$X$5,IF(OR(F16=$B$63,F16=$B$65),VLOOKUP(Калькуляция!$C$4,'Статистическая ЗП'!$M$5:$U$89,8,FALSE),VLOOKUP(Калькуляция!$C$4,'Статистическая ЗП'!$M$5:$U$89,9,FALSE)),IF(OR(F16=$B$63,F16=$B$65),VLOOKUP(Калькуляция!$C$4,'Статистическая ЗП'!$M$5:$U$89,6,FALSE),VLOOKUP(Калькуляция!$C$4,'Статистическая ЗП'!$M$5:$U$89,7,FALSE))),"")</f>
        <v/>
      </c>
      <c r="AB16" s="161" t="str">
        <f t="shared" si="13"/>
        <v/>
      </c>
      <c r="AE16" s="194">
        <f t="shared" si="14"/>
        <v>0</v>
      </c>
    </row>
    <row r="17" spans="2:31" x14ac:dyDescent="0.25">
      <c r="B17" s="112"/>
      <c r="C17" s="128"/>
      <c r="D17" s="165"/>
      <c r="E17" s="111"/>
      <c r="F17" s="111"/>
      <c r="G17" s="113"/>
      <c r="H17" s="113"/>
      <c r="I17" s="113"/>
      <c r="J17" s="136">
        <f t="shared" si="8"/>
        <v>0</v>
      </c>
      <c r="K17" s="142"/>
      <c r="L17" s="130">
        <f t="shared" si="1"/>
        <v>0</v>
      </c>
      <c r="M17" s="130">
        <f t="shared" si="2"/>
        <v>0</v>
      </c>
      <c r="N17" s="130">
        <f t="shared" si="15"/>
        <v>0</v>
      </c>
      <c r="O17" s="130">
        <f t="shared" si="3"/>
        <v>0</v>
      </c>
      <c r="P17" s="136">
        <f t="shared" si="4"/>
        <v>0</v>
      </c>
      <c r="Q17" s="348">
        <f t="shared" si="9"/>
        <v>0</v>
      </c>
      <c r="R17" s="349">
        <f t="shared" si="5"/>
        <v>0</v>
      </c>
      <c r="S17" s="141"/>
      <c r="T17" s="130">
        <f t="shared" si="10"/>
        <v>0</v>
      </c>
      <c r="U17" s="130">
        <f t="shared" si="6"/>
        <v>0</v>
      </c>
      <c r="V17" s="130">
        <f>IF(OR(F17=$B$63,F17=$B$65),IF(P17/I17/C17&gt;'Статистическая ЗП'!$N$5,IF(Калькуляция!$C$2='Статистическая ЗП'!$X$5,SUM('Расчет ФОТ'!P17:S17)*15.5%+'Расчет ФОТ'!C17*'Расчет ФОТ'!I17*'Статистическая ЗП'!$N$5*('Расчет ФОТ'!$V$5-15.5%),SUM(P17:S17)*$V$5),SUM('Расчет ФОТ'!P17:S17)*'Расчет ФОТ'!$V$5),0)</f>
        <v>0</v>
      </c>
      <c r="W17" s="130">
        <f>IF(F17=$B$64,IF(P17/I17/C17&gt;'Статистическая ЗП'!$N$5,IF(Калькуляция!$C$2='Статистическая ЗП'!$X$5,SUM('Расчет ФОТ'!P17:S17)*10.5%+'Расчет ФОТ'!C17*'Расчет ФОТ'!I17*'Статистическая ЗП'!$N$5*('Расчет ФОТ'!$W$5-10.5%),SUM(P17:S17)*$W$5),SUM('Расчет ФОТ'!P17:S17)*'Расчет ФОТ'!$W$5),0)</f>
        <v>0</v>
      </c>
      <c r="X17" s="135">
        <f t="shared" si="11"/>
        <v>0</v>
      </c>
      <c r="Y17" s="130">
        <f t="shared" si="12"/>
        <v>0</v>
      </c>
      <c r="Z17" s="143">
        <f t="shared" si="7"/>
        <v>0</v>
      </c>
      <c r="AA17" s="157" t="str">
        <f>IF(Z17&gt;0,IF(Калькуляция!$C$2='Статистическая ЗП'!$X$5,IF(OR(F17=$B$63,F17=$B$65),VLOOKUP(Калькуляция!$C$4,'Статистическая ЗП'!$M$5:$U$89,8,FALSE),VLOOKUP(Калькуляция!$C$4,'Статистическая ЗП'!$M$5:$U$89,9,FALSE)),IF(OR(F17=$B$63,F17=$B$65),VLOOKUP(Калькуляция!$C$4,'Статистическая ЗП'!$M$5:$U$89,6,FALSE),VLOOKUP(Калькуляция!$C$4,'Статистическая ЗП'!$M$5:$U$89,7,FALSE))),"")</f>
        <v/>
      </c>
      <c r="AB17" s="161" t="str">
        <f t="shared" si="13"/>
        <v/>
      </c>
      <c r="AE17" s="194">
        <f t="shared" si="14"/>
        <v>0</v>
      </c>
    </row>
    <row r="18" spans="2:31" x14ac:dyDescent="0.25">
      <c r="B18" s="112"/>
      <c r="C18" s="128"/>
      <c r="D18" s="165"/>
      <c r="E18" s="111"/>
      <c r="F18" s="111"/>
      <c r="G18" s="113"/>
      <c r="H18" s="113"/>
      <c r="I18" s="113"/>
      <c r="J18" s="136">
        <f t="shared" si="8"/>
        <v>0</v>
      </c>
      <c r="K18" s="142"/>
      <c r="L18" s="130">
        <f t="shared" si="1"/>
        <v>0</v>
      </c>
      <c r="M18" s="130">
        <f t="shared" si="2"/>
        <v>0</v>
      </c>
      <c r="N18" s="130">
        <f t="shared" si="15"/>
        <v>0</v>
      </c>
      <c r="O18" s="130">
        <f t="shared" si="3"/>
        <v>0</v>
      </c>
      <c r="P18" s="136">
        <f t="shared" si="4"/>
        <v>0</v>
      </c>
      <c r="Q18" s="348">
        <f t="shared" si="9"/>
        <v>0</v>
      </c>
      <c r="R18" s="349">
        <f t="shared" si="5"/>
        <v>0</v>
      </c>
      <c r="S18" s="141"/>
      <c r="T18" s="130">
        <f t="shared" si="10"/>
        <v>0</v>
      </c>
      <c r="U18" s="130">
        <f t="shared" si="6"/>
        <v>0</v>
      </c>
      <c r="V18" s="130">
        <f>IF(OR(F18=$B$63,F18=$B$65),IF(P18/I18/C18&gt;'Статистическая ЗП'!$N$5,IF(Калькуляция!$C$2='Статистическая ЗП'!$X$5,SUM('Расчет ФОТ'!P18:S18)*15.5%+'Расчет ФОТ'!C18*'Расчет ФОТ'!I18*'Статистическая ЗП'!$N$5*('Расчет ФОТ'!$V$5-15.5%),SUM(P18:S18)*$V$5),SUM('Расчет ФОТ'!P18:S18)*'Расчет ФОТ'!$V$5),0)</f>
        <v>0</v>
      </c>
      <c r="W18" s="130">
        <f>IF(F18=$B$64,IF(P18/I18/C18&gt;'Статистическая ЗП'!$N$5,IF(Калькуляция!$C$2='Статистическая ЗП'!$X$5,SUM('Расчет ФОТ'!P18:S18)*10.5%+'Расчет ФОТ'!C18*'Расчет ФОТ'!I18*'Статистическая ЗП'!$N$5*('Расчет ФОТ'!$W$5-10.5%),SUM(P18:S18)*$W$5),SUM('Расчет ФОТ'!P18:S18)*'Расчет ФОТ'!$W$5),0)</f>
        <v>0</v>
      </c>
      <c r="X18" s="135">
        <f t="shared" si="11"/>
        <v>0</v>
      </c>
      <c r="Y18" s="130">
        <f t="shared" si="12"/>
        <v>0</v>
      </c>
      <c r="Z18" s="143">
        <f t="shared" si="7"/>
        <v>0</v>
      </c>
      <c r="AA18" s="157" t="str">
        <f>IF(Z18&gt;0,IF(Калькуляция!$C$2='Статистическая ЗП'!$X$5,IF(OR(F18=$B$63,F18=$B$65),VLOOKUP(Калькуляция!$C$4,'Статистическая ЗП'!$M$5:$U$89,8,FALSE),VLOOKUP(Калькуляция!$C$4,'Статистическая ЗП'!$M$5:$U$89,9,FALSE)),IF(OR(F18=$B$63,F18=$B$65),VLOOKUP(Калькуляция!$C$4,'Статистическая ЗП'!$M$5:$U$89,6,FALSE),VLOOKUP(Калькуляция!$C$4,'Статистическая ЗП'!$M$5:$U$89,7,FALSE))),"")</f>
        <v/>
      </c>
      <c r="AB18" s="161" t="str">
        <f t="shared" si="13"/>
        <v/>
      </c>
      <c r="AE18" s="194">
        <f t="shared" si="14"/>
        <v>0</v>
      </c>
    </row>
    <row r="19" spans="2:31" x14ac:dyDescent="0.25">
      <c r="B19" s="112"/>
      <c r="C19" s="128"/>
      <c r="D19" s="165"/>
      <c r="E19" s="111"/>
      <c r="F19" s="111"/>
      <c r="G19" s="113"/>
      <c r="H19" s="113"/>
      <c r="I19" s="113"/>
      <c r="J19" s="136">
        <f t="shared" si="8"/>
        <v>0</v>
      </c>
      <c r="K19" s="142"/>
      <c r="L19" s="130">
        <f t="shared" si="1"/>
        <v>0</v>
      </c>
      <c r="M19" s="130">
        <f t="shared" si="2"/>
        <v>0</v>
      </c>
      <c r="N19" s="130">
        <f t="shared" si="15"/>
        <v>0</v>
      </c>
      <c r="O19" s="130">
        <f t="shared" si="3"/>
        <v>0</v>
      </c>
      <c r="P19" s="136">
        <f t="shared" si="4"/>
        <v>0</v>
      </c>
      <c r="Q19" s="348">
        <f t="shared" si="9"/>
        <v>0</v>
      </c>
      <c r="R19" s="349">
        <f t="shared" si="5"/>
        <v>0</v>
      </c>
      <c r="S19" s="141"/>
      <c r="T19" s="130">
        <f t="shared" si="10"/>
        <v>0</v>
      </c>
      <c r="U19" s="130">
        <f t="shared" si="6"/>
        <v>0</v>
      </c>
      <c r="V19" s="130">
        <f>IF(OR(F19=$B$63,F19=$B$65),IF(P19/I19/C19&gt;'Статистическая ЗП'!$N$5,IF(Калькуляция!$C$2='Статистическая ЗП'!$X$5,SUM('Расчет ФОТ'!P19:S19)*15.5%+'Расчет ФОТ'!C19*'Расчет ФОТ'!I19*'Статистическая ЗП'!$N$5*('Расчет ФОТ'!$V$5-15.5%),SUM(P19:S19)*$V$5),SUM('Расчет ФОТ'!P19:S19)*'Расчет ФОТ'!$V$5),0)</f>
        <v>0</v>
      </c>
      <c r="W19" s="130">
        <f>IF(F19=$B$64,IF(P19/I19/C19&gt;'Статистическая ЗП'!$N$5,IF(Калькуляция!$C$2='Статистическая ЗП'!$X$5,SUM('Расчет ФОТ'!P19:S19)*10.5%+'Расчет ФОТ'!C19*'Расчет ФОТ'!I19*'Статистическая ЗП'!$N$5*('Расчет ФОТ'!$W$5-10.5%),SUM(P19:S19)*$W$5),SUM('Расчет ФОТ'!P19:S19)*'Расчет ФОТ'!$W$5),0)</f>
        <v>0</v>
      </c>
      <c r="X19" s="135">
        <f t="shared" si="11"/>
        <v>0</v>
      </c>
      <c r="Y19" s="130">
        <f t="shared" si="12"/>
        <v>0</v>
      </c>
      <c r="Z19" s="143">
        <f t="shared" si="7"/>
        <v>0</v>
      </c>
      <c r="AA19" s="157" t="str">
        <f>IF(Z19&gt;0,IF(Калькуляция!$C$2='Статистическая ЗП'!$X$5,IF(OR(F19=$B$63,F19=$B$65),VLOOKUP(Калькуляция!$C$4,'Статистическая ЗП'!$M$5:$U$89,8,FALSE),VLOOKUP(Калькуляция!$C$4,'Статистическая ЗП'!$M$5:$U$89,9,FALSE)),IF(OR(F19=$B$63,F19=$B$65),VLOOKUP(Калькуляция!$C$4,'Статистическая ЗП'!$M$5:$U$89,6,FALSE),VLOOKUP(Калькуляция!$C$4,'Статистическая ЗП'!$M$5:$U$89,7,FALSE))),"")</f>
        <v/>
      </c>
      <c r="AB19" s="161" t="str">
        <f t="shared" si="13"/>
        <v/>
      </c>
      <c r="AE19" s="194">
        <f t="shared" si="14"/>
        <v>0</v>
      </c>
    </row>
    <row r="20" spans="2:31" x14ac:dyDescent="0.25">
      <c r="B20" s="112"/>
      <c r="C20" s="128"/>
      <c r="D20" s="165"/>
      <c r="E20" s="111"/>
      <c r="F20" s="111"/>
      <c r="G20" s="113"/>
      <c r="H20" s="113"/>
      <c r="I20" s="113"/>
      <c r="J20" s="136">
        <f t="shared" si="8"/>
        <v>0</v>
      </c>
      <c r="K20" s="142"/>
      <c r="L20" s="130">
        <f t="shared" si="1"/>
        <v>0</v>
      </c>
      <c r="M20" s="130">
        <f t="shared" si="2"/>
        <v>0</v>
      </c>
      <c r="N20" s="130">
        <f t="shared" si="15"/>
        <v>0</v>
      </c>
      <c r="O20" s="130">
        <f t="shared" si="3"/>
        <v>0</v>
      </c>
      <c r="P20" s="136">
        <f t="shared" si="4"/>
        <v>0</v>
      </c>
      <c r="Q20" s="348">
        <f t="shared" si="9"/>
        <v>0</v>
      </c>
      <c r="R20" s="349">
        <f t="shared" si="5"/>
        <v>0</v>
      </c>
      <c r="S20" s="141"/>
      <c r="T20" s="130">
        <f t="shared" si="10"/>
        <v>0</v>
      </c>
      <c r="U20" s="130">
        <f t="shared" si="6"/>
        <v>0</v>
      </c>
      <c r="V20" s="130">
        <f>IF(OR(F20=$B$63,F20=$B$65),IF(P20/I20/C20&gt;'Статистическая ЗП'!$N$5,IF(Калькуляция!$C$2='Статистическая ЗП'!$X$5,SUM('Расчет ФОТ'!P20:S20)*15.5%+'Расчет ФОТ'!C20*'Расчет ФОТ'!I20*'Статистическая ЗП'!$N$5*('Расчет ФОТ'!$V$5-15.5%),SUM(P20:S20)*$V$5),SUM('Расчет ФОТ'!P20:S20)*'Расчет ФОТ'!$V$5),0)</f>
        <v>0</v>
      </c>
      <c r="W20" s="130">
        <f>IF(F20=$B$64,IF(P20/I20/C20&gt;'Статистическая ЗП'!$N$5,IF(Калькуляция!$C$2='Статистическая ЗП'!$X$5,SUM('Расчет ФОТ'!P20:S20)*10.5%+'Расчет ФОТ'!C20*'Расчет ФОТ'!I20*'Статистическая ЗП'!$N$5*('Расчет ФОТ'!$W$5-10.5%),SUM(P20:S20)*$W$5),SUM('Расчет ФОТ'!P20:S20)*'Расчет ФОТ'!$W$5),0)</f>
        <v>0</v>
      </c>
      <c r="X20" s="135">
        <f t="shared" si="11"/>
        <v>0</v>
      </c>
      <c r="Y20" s="130">
        <f t="shared" si="12"/>
        <v>0</v>
      </c>
      <c r="Z20" s="143">
        <f t="shared" si="7"/>
        <v>0</v>
      </c>
      <c r="AA20" s="157" t="str">
        <f>IF(Z20&gt;0,IF(Калькуляция!$C$2='Статистическая ЗП'!$X$5,IF(OR(F20=$B$63,F20=$B$65),VLOOKUP(Калькуляция!$C$4,'Статистическая ЗП'!$M$5:$U$89,8,FALSE),VLOOKUP(Калькуляция!$C$4,'Статистическая ЗП'!$M$5:$U$89,9,FALSE)),IF(OR(F20=$B$63,F20=$B$65),VLOOKUP(Калькуляция!$C$4,'Статистическая ЗП'!$M$5:$U$89,6,FALSE),VLOOKUP(Калькуляция!$C$4,'Статистическая ЗП'!$M$5:$U$89,7,FALSE))),"")</f>
        <v/>
      </c>
      <c r="AB20" s="161" t="str">
        <f t="shared" si="13"/>
        <v/>
      </c>
      <c r="AE20" s="194">
        <f t="shared" si="14"/>
        <v>0</v>
      </c>
    </row>
    <row r="21" spans="2:31" x14ac:dyDescent="0.25">
      <c r="B21" s="112"/>
      <c r="C21" s="128"/>
      <c r="D21" s="165"/>
      <c r="E21" s="111"/>
      <c r="F21" s="111"/>
      <c r="G21" s="113"/>
      <c r="H21" s="113"/>
      <c r="I21" s="113"/>
      <c r="J21" s="136">
        <f t="shared" si="8"/>
        <v>0</v>
      </c>
      <c r="K21" s="144"/>
      <c r="L21" s="130">
        <f t="shared" si="1"/>
        <v>0</v>
      </c>
      <c r="M21" s="130">
        <f t="shared" si="2"/>
        <v>0</v>
      </c>
      <c r="N21" s="130">
        <f t="shared" si="15"/>
        <v>0</v>
      </c>
      <c r="O21" s="130">
        <f t="shared" si="3"/>
        <v>0</v>
      </c>
      <c r="P21" s="136">
        <f t="shared" si="4"/>
        <v>0</v>
      </c>
      <c r="Q21" s="348">
        <f t="shared" si="9"/>
        <v>0</v>
      </c>
      <c r="R21" s="349">
        <f t="shared" si="5"/>
        <v>0</v>
      </c>
      <c r="S21" s="141"/>
      <c r="T21" s="130">
        <f t="shared" si="10"/>
        <v>0</v>
      </c>
      <c r="U21" s="130">
        <f t="shared" si="6"/>
        <v>0</v>
      </c>
      <c r="V21" s="130">
        <f>IF(OR(F21=$B$63,F21=$B$65),IF(P21/I21/C21&gt;'Статистическая ЗП'!$N$5,IF(Калькуляция!$C$2='Статистическая ЗП'!$X$5,SUM('Расчет ФОТ'!P21:S21)*15.5%+'Расчет ФОТ'!C21*'Расчет ФОТ'!I21*'Статистическая ЗП'!$N$5*('Расчет ФОТ'!$V$5-15.5%),SUM(P21:S21)*$V$5),SUM('Расчет ФОТ'!P21:S21)*'Расчет ФОТ'!$V$5),0)</f>
        <v>0</v>
      </c>
      <c r="W21" s="130">
        <f>IF(F21=$B$64,IF(P21/I21/C21&gt;'Статистическая ЗП'!$N$5,IF(Калькуляция!$C$2='Статистическая ЗП'!$X$5,SUM('Расчет ФОТ'!P21:S21)*10.5%+'Расчет ФОТ'!C21*'Расчет ФОТ'!I21*'Статистическая ЗП'!$N$5*('Расчет ФОТ'!$W$5-10.5%),SUM(P21:S21)*$W$5),SUM('Расчет ФОТ'!P21:S21)*'Расчет ФОТ'!$W$5),0)</f>
        <v>0</v>
      </c>
      <c r="X21" s="135">
        <f t="shared" si="11"/>
        <v>0</v>
      </c>
      <c r="Y21" s="130">
        <f t="shared" si="12"/>
        <v>0</v>
      </c>
      <c r="Z21" s="143">
        <f t="shared" si="7"/>
        <v>0</v>
      </c>
      <c r="AA21" s="157" t="str">
        <f>IF(Z21&gt;0,IF(Калькуляция!$C$2='Статистическая ЗП'!$X$5,IF(OR(F21=$B$63,F21=$B$65),VLOOKUP(Калькуляция!$C$4,'Статистическая ЗП'!$M$5:$U$89,8,FALSE),VLOOKUP(Калькуляция!$C$4,'Статистическая ЗП'!$M$5:$U$89,9,FALSE)),IF(OR(F21=$B$63,F21=$B$65),VLOOKUP(Калькуляция!$C$4,'Статистическая ЗП'!$M$5:$U$89,6,FALSE),VLOOKUP(Калькуляция!$C$4,'Статистическая ЗП'!$M$5:$U$89,7,FALSE))),"")</f>
        <v/>
      </c>
      <c r="AB21" s="161" t="str">
        <f t="shared" si="13"/>
        <v/>
      </c>
      <c r="AE21" s="194">
        <f t="shared" si="14"/>
        <v>0</v>
      </c>
    </row>
    <row r="22" spans="2:31" x14ac:dyDescent="0.25">
      <c r="B22" s="112"/>
      <c r="C22" s="128"/>
      <c r="D22" s="165"/>
      <c r="E22" s="111"/>
      <c r="F22" s="111"/>
      <c r="G22" s="113"/>
      <c r="H22" s="113"/>
      <c r="I22" s="113"/>
      <c r="J22" s="136">
        <f t="shared" si="8"/>
        <v>0</v>
      </c>
      <c r="K22" s="142"/>
      <c r="L22" s="130">
        <f t="shared" si="1"/>
        <v>0</v>
      </c>
      <c r="M22" s="130">
        <f t="shared" si="2"/>
        <v>0</v>
      </c>
      <c r="N22" s="130">
        <f t="shared" si="15"/>
        <v>0</v>
      </c>
      <c r="O22" s="130">
        <f t="shared" si="3"/>
        <v>0</v>
      </c>
      <c r="P22" s="136">
        <f t="shared" si="4"/>
        <v>0</v>
      </c>
      <c r="Q22" s="348">
        <f t="shared" si="9"/>
        <v>0</v>
      </c>
      <c r="R22" s="349">
        <f t="shared" si="5"/>
        <v>0</v>
      </c>
      <c r="S22" s="141"/>
      <c r="T22" s="130">
        <f t="shared" si="10"/>
        <v>0</v>
      </c>
      <c r="U22" s="130">
        <f t="shared" si="6"/>
        <v>0</v>
      </c>
      <c r="V22" s="130">
        <f>IF(OR(F22=$B$63,F22=$B$65),IF(P22/I22/C22&gt;'Статистическая ЗП'!$N$5,IF(Калькуляция!$C$2='Статистическая ЗП'!$X$5,SUM('Расчет ФОТ'!P22:S22)*15.5%+'Расчет ФОТ'!C22*'Расчет ФОТ'!I22*'Статистическая ЗП'!$N$5*('Расчет ФОТ'!$V$5-15.5%),SUM(P22:S22)*$V$5),SUM('Расчет ФОТ'!P22:S22)*'Расчет ФОТ'!$V$5),0)</f>
        <v>0</v>
      </c>
      <c r="W22" s="130">
        <f>IF(F22=$B$64,IF(P22/I22/C22&gt;'Статистическая ЗП'!$N$5,IF(Калькуляция!$C$2='Статистическая ЗП'!$X$5,SUM('Расчет ФОТ'!P22:S22)*10.5%+'Расчет ФОТ'!C22*'Расчет ФОТ'!I22*'Статистическая ЗП'!$N$5*('Расчет ФОТ'!$W$5-10.5%),SUM(P22:S22)*$W$5),SUM('Расчет ФОТ'!P22:S22)*'Расчет ФОТ'!$W$5),0)</f>
        <v>0</v>
      </c>
      <c r="X22" s="135">
        <f t="shared" si="11"/>
        <v>0</v>
      </c>
      <c r="Y22" s="130">
        <f t="shared" si="12"/>
        <v>0</v>
      </c>
      <c r="Z22" s="143">
        <f t="shared" si="7"/>
        <v>0</v>
      </c>
      <c r="AA22" s="157" t="str">
        <f>IF(Z22&gt;0,IF(Калькуляция!$C$2='Статистическая ЗП'!$X$5,IF(OR(F22=$B$63,F22=$B$65),VLOOKUP(Калькуляция!$C$4,'Статистическая ЗП'!$M$5:$U$89,8,FALSE),VLOOKUP(Калькуляция!$C$4,'Статистическая ЗП'!$M$5:$U$89,9,FALSE)),IF(OR(F22=$B$63,F22=$B$65),VLOOKUP(Калькуляция!$C$4,'Статистическая ЗП'!$M$5:$U$89,6,FALSE),VLOOKUP(Калькуляция!$C$4,'Статистическая ЗП'!$M$5:$U$89,7,FALSE))),"")</f>
        <v/>
      </c>
      <c r="AB22" s="161" t="str">
        <f t="shared" si="13"/>
        <v/>
      </c>
      <c r="AE22" s="194">
        <f t="shared" si="14"/>
        <v>0</v>
      </c>
    </row>
    <row r="23" spans="2:31" x14ac:dyDescent="0.25">
      <c r="B23" s="112"/>
      <c r="C23" s="128"/>
      <c r="D23" s="165"/>
      <c r="E23" s="111"/>
      <c r="F23" s="111"/>
      <c r="G23" s="113"/>
      <c r="H23" s="113"/>
      <c r="I23" s="113"/>
      <c r="J23" s="136">
        <f t="shared" si="8"/>
        <v>0</v>
      </c>
      <c r="K23" s="142"/>
      <c r="L23" s="130">
        <f t="shared" si="1"/>
        <v>0</v>
      </c>
      <c r="M23" s="130">
        <f t="shared" si="2"/>
        <v>0</v>
      </c>
      <c r="N23" s="130">
        <f t="shared" si="15"/>
        <v>0</v>
      </c>
      <c r="O23" s="130">
        <f t="shared" si="3"/>
        <v>0</v>
      </c>
      <c r="P23" s="136">
        <f t="shared" si="4"/>
        <v>0</v>
      </c>
      <c r="Q23" s="348">
        <f t="shared" si="9"/>
        <v>0</v>
      </c>
      <c r="R23" s="349">
        <f t="shared" si="5"/>
        <v>0</v>
      </c>
      <c r="S23" s="141"/>
      <c r="T23" s="130">
        <f t="shared" si="10"/>
        <v>0</v>
      </c>
      <c r="U23" s="130">
        <f t="shared" si="6"/>
        <v>0</v>
      </c>
      <c r="V23" s="130">
        <f>IF(OR(F23=$B$63,F23=$B$65),IF(P23/I23/C23&gt;'Статистическая ЗП'!$N$5,IF(Калькуляция!$C$2='Статистическая ЗП'!$X$5,SUM('Расчет ФОТ'!P23:S23)*15.5%+'Расчет ФОТ'!C23*'Расчет ФОТ'!I23*'Статистическая ЗП'!$N$5*('Расчет ФОТ'!$V$5-15.5%),SUM(P23:S23)*$V$5),SUM('Расчет ФОТ'!P23:S23)*'Расчет ФОТ'!$V$5),0)</f>
        <v>0</v>
      </c>
      <c r="W23" s="130">
        <f>IF(F23=$B$64,IF(P23/I23/C23&gt;'Статистическая ЗП'!$N$5,IF(Калькуляция!$C$2='Статистическая ЗП'!$X$5,SUM('Расчет ФОТ'!P23:S23)*10.5%+'Расчет ФОТ'!C23*'Расчет ФОТ'!I23*'Статистическая ЗП'!$N$5*('Расчет ФОТ'!$W$5-10.5%),SUM(P23:S23)*$W$5),SUM('Расчет ФОТ'!P23:S23)*'Расчет ФОТ'!$W$5),0)</f>
        <v>0</v>
      </c>
      <c r="X23" s="135">
        <f t="shared" si="11"/>
        <v>0</v>
      </c>
      <c r="Y23" s="130">
        <f t="shared" si="12"/>
        <v>0</v>
      </c>
      <c r="Z23" s="143">
        <f t="shared" si="7"/>
        <v>0</v>
      </c>
      <c r="AA23" s="157" t="str">
        <f>IF(Z23&gt;0,IF(Калькуляция!$C$2='Статистическая ЗП'!$X$5,IF(OR(F23=$B$63,F23=$B$65),VLOOKUP(Калькуляция!$C$4,'Статистическая ЗП'!$M$5:$U$89,8,FALSE),VLOOKUP(Калькуляция!$C$4,'Статистическая ЗП'!$M$5:$U$89,9,FALSE)),IF(OR(F23=$B$63,F23=$B$65),VLOOKUP(Калькуляция!$C$4,'Статистическая ЗП'!$M$5:$U$89,6,FALSE),VLOOKUP(Калькуляция!$C$4,'Статистическая ЗП'!$M$5:$U$89,7,FALSE))),"")</f>
        <v/>
      </c>
      <c r="AB23" s="161" t="str">
        <f t="shared" si="13"/>
        <v/>
      </c>
      <c r="AE23" s="194">
        <f t="shared" si="14"/>
        <v>0</v>
      </c>
    </row>
    <row r="24" spans="2:31" x14ac:dyDescent="0.25">
      <c r="B24" s="112"/>
      <c r="C24" s="128"/>
      <c r="D24" s="165"/>
      <c r="E24" s="111"/>
      <c r="F24" s="111"/>
      <c r="G24" s="113"/>
      <c r="H24" s="113"/>
      <c r="I24" s="113"/>
      <c r="J24" s="136">
        <f t="shared" si="8"/>
        <v>0</v>
      </c>
      <c r="K24" s="142"/>
      <c r="L24" s="130">
        <f t="shared" si="1"/>
        <v>0</v>
      </c>
      <c r="M24" s="130">
        <f t="shared" si="2"/>
        <v>0</v>
      </c>
      <c r="N24" s="130">
        <f t="shared" si="15"/>
        <v>0</v>
      </c>
      <c r="O24" s="130">
        <f t="shared" si="3"/>
        <v>0</v>
      </c>
      <c r="P24" s="136">
        <f t="shared" si="4"/>
        <v>0</v>
      </c>
      <c r="Q24" s="348">
        <f t="shared" si="9"/>
        <v>0</v>
      </c>
      <c r="R24" s="349">
        <f t="shared" si="5"/>
        <v>0</v>
      </c>
      <c r="S24" s="141"/>
      <c r="T24" s="130">
        <f t="shared" si="10"/>
        <v>0</v>
      </c>
      <c r="U24" s="130">
        <f t="shared" si="6"/>
        <v>0</v>
      </c>
      <c r="V24" s="130">
        <f>IF(OR(F24=$B$63,F24=$B$65),IF(P24/I24/C24&gt;'Статистическая ЗП'!$N$5,IF(Калькуляция!$C$2='Статистическая ЗП'!$X$5,SUM('Расчет ФОТ'!P24:S24)*15.5%+'Расчет ФОТ'!C24*'Расчет ФОТ'!I24*'Статистическая ЗП'!$N$5*('Расчет ФОТ'!$V$5-15.5%),SUM(P24:S24)*$V$5),SUM('Расчет ФОТ'!P24:S24)*'Расчет ФОТ'!$V$5),0)</f>
        <v>0</v>
      </c>
      <c r="W24" s="130">
        <f>IF(F24=$B$64,IF(P24/I24/C24&gt;'Статистическая ЗП'!$N$5,IF(Калькуляция!$C$2='Статистическая ЗП'!$X$5,SUM('Расчет ФОТ'!P24:S24)*10.5%+'Расчет ФОТ'!C24*'Расчет ФОТ'!I24*'Статистическая ЗП'!$N$5*('Расчет ФОТ'!$W$5-10.5%),SUM(P24:S24)*$W$5),SUM('Расчет ФОТ'!P24:S24)*'Расчет ФОТ'!$W$5),0)</f>
        <v>0</v>
      </c>
      <c r="X24" s="135">
        <f t="shared" si="11"/>
        <v>0</v>
      </c>
      <c r="Y24" s="130">
        <f t="shared" si="12"/>
        <v>0</v>
      </c>
      <c r="Z24" s="143">
        <f t="shared" si="7"/>
        <v>0</v>
      </c>
      <c r="AA24" s="157" t="str">
        <f>IF(Z24&gt;0,IF(Калькуляция!$C$2='Статистическая ЗП'!$X$5,IF(OR(F24=$B$63,F24=$B$65),VLOOKUP(Калькуляция!$C$4,'Статистическая ЗП'!$M$5:$U$89,8,FALSE),VLOOKUP(Калькуляция!$C$4,'Статистическая ЗП'!$M$5:$U$89,9,FALSE)),IF(OR(F24=$B$63,F24=$B$65),VLOOKUP(Калькуляция!$C$4,'Статистическая ЗП'!$M$5:$U$89,6,FALSE),VLOOKUP(Калькуляция!$C$4,'Статистическая ЗП'!$M$5:$U$89,7,FALSE))),"")</f>
        <v/>
      </c>
      <c r="AB24" s="161" t="str">
        <f t="shared" si="13"/>
        <v/>
      </c>
      <c r="AE24" s="194">
        <f t="shared" si="14"/>
        <v>0</v>
      </c>
    </row>
    <row r="25" spans="2:31" x14ac:dyDescent="0.25">
      <c r="B25" s="112"/>
      <c r="C25" s="128"/>
      <c r="D25" s="165"/>
      <c r="E25" s="111"/>
      <c r="F25" s="111"/>
      <c r="G25" s="113"/>
      <c r="H25" s="113"/>
      <c r="I25" s="113"/>
      <c r="J25" s="136">
        <f t="shared" si="8"/>
        <v>0</v>
      </c>
      <c r="K25" s="142"/>
      <c r="L25" s="130">
        <f t="shared" si="1"/>
        <v>0</v>
      </c>
      <c r="M25" s="130">
        <f t="shared" si="2"/>
        <v>0</v>
      </c>
      <c r="N25" s="130">
        <f t="shared" si="15"/>
        <v>0</v>
      </c>
      <c r="O25" s="130">
        <f t="shared" si="3"/>
        <v>0</v>
      </c>
      <c r="P25" s="136">
        <f t="shared" si="4"/>
        <v>0</v>
      </c>
      <c r="Q25" s="348">
        <f t="shared" si="9"/>
        <v>0</v>
      </c>
      <c r="R25" s="349">
        <f t="shared" si="5"/>
        <v>0</v>
      </c>
      <c r="S25" s="141"/>
      <c r="T25" s="130">
        <f t="shared" si="10"/>
        <v>0</v>
      </c>
      <c r="U25" s="130">
        <f t="shared" si="6"/>
        <v>0</v>
      </c>
      <c r="V25" s="130">
        <f>IF(OR(F25=$B$63,F25=$B$65),IF(P25/I25/C25&gt;'Статистическая ЗП'!$N$5,IF(Калькуляция!$C$2='Статистическая ЗП'!$X$5,SUM('Расчет ФОТ'!P25:S25)*15.5%+'Расчет ФОТ'!C25*'Расчет ФОТ'!I25*'Статистическая ЗП'!$N$5*('Расчет ФОТ'!$V$5-15.5%),SUM(P25:S25)*$V$5),SUM('Расчет ФОТ'!P25:S25)*'Расчет ФОТ'!$V$5),0)</f>
        <v>0</v>
      </c>
      <c r="W25" s="130">
        <f>IF(F25=$B$64,IF(P25/I25/C25&gt;'Статистическая ЗП'!$N$5,IF(Калькуляция!$C$2='Статистическая ЗП'!$X$5,SUM('Расчет ФОТ'!P25:S25)*10.5%+'Расчет ФОТ'!C25*'Расчет ФОТ'!I25*'Статистическая ЗП'!$N$5*('Расчет ФОТ'!$W$5-10.5%),SUM(P25:S25)*$W$5),SUM('Расчет ФОТ'!P25:S25)*'Расчет ФОТ'!$W$5),0)</f>
        <v>0</v>
      </c>
      <c r="X25" s="135">
        <f t="shared" si="11"/>
        <v>0</v>
      </c>
      <c r="Y25" s="130">
        <f t="shared" si="12"/>
        <v>0</v>
      </c>
      <c r="Z25" s="143">
        <f t="shared" si="7"/>
        <v>0</v>
      </c>
      <c r="AA25" s="157" t="str">
        <f>IF(Z25&gt;0,IF(Калькуляция!$C$2='Статистическая ЗП'!$X$5,IF(OR(F25=$B$63,F25=$B$65),VLOOKUP(Калькуляция!$C$4,'Статистическая ЗП'!$M$5:$U$89,8,FALSE),VLOOKUP(Калькуляция!$C$4,'Статистическая ЗП'!$M$5:$U$89,9,FALSE)),IF(OR(F25=$B$63,F25=$B$65),VLOOKUP(Калькуляция!$C$4,'Статистическая ЗП'!$M$5:$U$89,6,FALSE),VLOOKUP(Калькуляция!$C$4,'Статистическая ЗП'!$M$5:$U$89,7,FALSE))),"")</f>
        <v/>
      </c>
      <c r="AB25" s="161" t="str">
        <f t="shared" si="13"/>
        <v/>
      </c>
      <c r="AE25" s="194">
        <f t="shared" si="14"/>
        <v>0</v>
      </c>
    </row>
    <row r="26" spans="2:31" x14ac:dyDescent="0.25">
      <c r="B26" s="112"/>
      <c r="C26" s="128"/>
      <c r="D26" s="165"/>
      <c r="E26" s="111"/>
      <c r="F26" s="111"/>
      <c r="G26" s="113"/>
      <c r="H26" s="113"/>
      <c r="I26" s="113"/>
      <c r="J26" s="136">
        <f t="shared" ref="J26:J40" si="16">I26*H26*G26*C26</f>
        <v>0</v>
      </c>
      <c r="K26" s="142"/>
      <c r="L26" s="130">
        <f t="shared" ref="L26:L40" si="17">IF(H26&gt;0,K26/H26,)</f>
        <v>0</v>
      </c>
      <c r="M26" s="130">
        <f t="shared" ref="M26:M40" si="18">IF(G26&gt;0,L26/G26,)</f>
        <v>0</v>
      </c>
      <c r="N26" s="130">
        <f t="shared" ref="N26:N40" si="19">C26*K26</f>
        <v>0</v>
      </c>
      <c r="O26" s="130">
        <f t="shared" ref="O26:O40" si="20">N26*I26</f>
        <v>0</v>
      </c>
      <c r="P26" s="136">
        <f t="shared" ref="P26:P40" si="21">O26/0.87</f>
        <v>0</v>
      </c>
      <c r="Q26" s="348">
        <f t="shared" ref="Q26:Q40" si="22">IF(L26&gt;0,L26/0.87*14/30*H26/12*I26*C26,)</f>
        <v>0</v>
      </c>
      <c r="R26" s="349">
        <f t="shared" ref="R26:R40" si="23">IF(J26&gt;0,(P26+Q26)/J26/29.3*28*100%/12*J26,0)</f>
        <v>0</v>
      </c>
      <c r="S26" s="141"/>
      <c r="T26" s="130">
        <f t="shared" ref="T26:T40" si="24">SUM(P26:S26)*2/730*3</f>
        <v>0</v>
      </c>
      <c r="U26" s="130">
        <f t="shared" ref="U26:U40" si="25">SUM(P26:T26)*13%</f>
        <v>0</v>
      </c>
      <c r="V26" s="130">
        <f>IF(OR(F26=$B$63,F26=$B$65),IF(P26/I26/C26&gt;'Статистическая ЗП'!$N$5,IF(Калькуляция!$C$2='Статистическая ЗП'!$X$5,SUM('Расчет ФОТ'!P26:S26)*15.5%+'Расчет ФОТ'!C26*'Расчет ФОТ'!I26*'Статистическая ЗП'!$N$5*('Расчет ФОТ'!$V$5-15.5%),SUM(P26:S26)*$V$5),SUM('Расчет ФОТ'!P26:S26)*'Расчет ФОТ'!$V$5),0)</f>
        <v>0</v>
      </c>
      <c r="W26" s="130">
        <f>IF(F26=$B$64,IF(P26/I26/C26&gt;'Статистическая ЗП'!$N$5,IF(Калькуляция!$C$2='Статистическая ЗП'!$X$5,SUM('Расчет ФОТ'!P26:S26)*10.5%+'Расчет ФОТ'!C26*'Расчет ФОТ'!I26*'Статистическая ЗП'!$N$5*('Расчет ФОТ'!$W$5-10.5%),SUM(P26:S26)*$W$5),SUM('Расчет ФОТ'!P26:S26)*'Расчет ФОТ'!$W$5),0)</f>
        <v>0</v>
      </c>
      <c r="X26" s="135">
        <f t="shared" ref="X26:X40" si="26">SUM(P26:T26,V26:W26)</f>
        <v>0</v>
      </c>
      <c r="Y26" s="130">
        <f t="shared" ref="Y26:Y40" si="27">IF(I26&gt;0,X26/I26,0)</f>
        <v>0</v>
      </c>
      <c r="Z26" s="143">
        <f t="shared" ref="Z26:Z40" si="28">IF(J26&gt;0,X26/J26,)</f>
        <v>0</v>
      </c>
      <c r="AA26" s="157" t="str">
        <f>IF(Z26&gt;0,IF(Калькуляция!$C$2='Статистическая ЗП'!$X$5,IF(OR(F26=$B$63,F26=$B$65),VLOOKUP(Калькуляция!$C$4,'Статистическая ЗП'!$M$5:$U$89,8,FALSE),VLOOKUP(Калькуляция!$C$4,'Статистическая ЗП'!$M$5:$U$89,9,FALSE)),IF(OR(F26=$B$63,F26=$B$65),VLOOKUP(Калькуляция!$C$4,'Статистическая ЗП'!$M$5:$U$89,6,FALSE),VLOOKUP(Калькуляция!$C$4,'Статистическая ЗП'!$M$5:$U$89,7,FALSE))),"")</f>
        <v/>
      </c>
      <c r="AB26" s="161" t="str">
        <f t="shared" ref="AB26:AB40" si="29">IF(Z26&gt;0,(Z26-AA26)/AA26,"")</f>
        <v/>
      </c>
      <c r="AE26" s="194">
        <f t="shared" si="14"/>
        <v>0</v>
      </c>
    </row>
    <row r="27" spans="2:31" x14ac:dyDescent="0.25">
      <c r="B27" s="112"/>
      <c r="C27" s="128"/>
      <c r="D27" s="165"/>
      <c r="E27" s="111"/>
      <c r="F27" s="111"/>
      <c r="G27" s="113"/>
      <c r="H27" s="113"/>
      <c r="I27" s="113"/>
      <c r="J27" s="136">
        <f t="shared" si="16"/>
        <v>0</v>
      </c>
      <c r="K27" s="142"/>
      <c r="L27" s="130">
        <f t="shared" si="17"/>
        <v>0</v>
      </c>
      <c r="M27" s="130">
        <f t="shared" si="18"/>
        <v>0</v>
      </c>
      <c r="N27" s="130">
        <f t="shared" si="19"/>
        <v>0</v>
      </c>
      <c r="O27" s="130">
        <f t="shared" si="20"/>
        <v>0</v>
      </c>
      <c r="P27" s="136">
        <f t="shared" si="21"/>
        <v>0</v>
      </c>
      <c r="Q27" s="348">
        <f t="shared" si="22"/>
        <v>0</v>
      </c>
      <c r="R27" s="349">
        <f t="shared" si="23"/>
        <v>0</v>
      </c>
      <c r="S27" s="141"/>
      <c r="T27" s="130">
        <f t="shared" si="24"/>
        <v>0</v>
      </c>
      <c r="U27" s="130">
        <f t="shared" si="25"/>
        <v>0</v>
      </c>
      <c r="V27" s="130">
        <f>IF(OR(F27=$B$63,F27=$B$65),IF(P27/I27/C27&gt;'Статистическая ЗП'!$N$5,IF(Калькуляция!$C$2='Статистическая ЗП'!$X$5,SUM('Расчет ФОТ'!P27:S27)*15.5%+'Расчет ФОТ'!C27*'Расчет ФОТ'!I27*'Статистическая ЗП'!$N$5*('Расчет ФОТ'!$V$5-15.5%),SUM(P27:S27)*$V$5),SUM('Расчет ФОТ'!P27:S27)*'Расчет ФОТ'!$V$5),0)</f>
        <v>0</v>
      </c>
      <c r="W27" s="130">
        <f>IF(F27=$B$64,IF(P27/I27/C27&gt;'Статистическая ЗП'!$N$5,IF(Калькуляция!$C$2='Статистическая ЗП'!$X$5,SUM('Расчет ФОТ'!P27:S27)*10.5%+'Расчет ФОТ'!C27*'Расчет ФОТ'!I27*'Статистическая ЗП'!$N$5*('Расчет ФОТ'!$W$5-10.5%),SUM(P27:S27)*$W$5),SUM('Расчет ФОТ'!P27:S27)*'Расчет ФОТ'!$W$5),0)</f>
        <v>0</v>
      </c>
      <c r="X27" s="135">
        <f t="shared" si="26"/>
        <v>0</v>
      </c>
      <c r="Y27" s="130">
        <f t="shared" si="27"/>
        <v>0</v>
      </c>
      <c r="Z27" s="143">
        <f t="shared" si="28"/>
        <v>0</v>
      </c>
      <c r="AA27" s="157" t="str">
        <f>IF(Z27&gt;0,IF(Калькуляция!$C$2='Статистическая ЗП'!$X$5,IF(OR(F27=$B$63,F27=$B$65),VLOOKUP(Калькуляция!$C$4,'Статистическая ЗП'!$M$5:$U$89,8,FALSE),VLOOKUP(Калькуляция!$C$4,'Статистическая ЗП'!$M$5:$U$89,9,FALSE)),IF(OR(F27=$B$63,F27=$B$65),VLOOKUP(Калькуляция!$C$4,'Статистическая ЗП'!$M$5:$U$89,6,FALSE),VLOOKUP(Калькуляция!$C$4,'Статистическая ЗП'!$M$5:$U$89,7,FALSE))),"")</f>
        <v/>
      </c>
      <c r="AB27" s="161" t="str">
        <f t="shared" si="29"/>
        <v/>
      </c>
      <c r="AE27" s="194">
        <f t="shared" si="14"/>
        <v>0</v>
      </c>
    </row>
    <row r="28" spans="2:31" x14ac:dyDescent="0.25">
      <c r="B28" s="112"/>
      <c r="C28" s="128"/>
      <c r="D28" s="165"/>
      <c r="E28" s="111"/>
      <c r="F28" s="111"/>
      <c r="G28" s="113"/>
      <c r="H28" s="113"/>
      <c r="I28" s="113"/>
      <c r="J28" s="136">
        <f t="shared" si="16"/>
        <v>0</v>
      </c>
      <c r="K28" s="142"/>
      <c r="L28" s="130">
        <f t="shared" si="17"/>
        <v>0</v>
      </c>
      <c r="M28" s="130">
        <f t="shared" si="18"/>
        <v>0</v>
      </c>
      <c r="N28" s="130">
        <f t="shared" si="19"/>
        <v>0</v>
      </c>
      <c r="O28" s="130">
        <f t="shared" si="20"/>
        <v>0</v>
      </c>
      <c r="P28" s="136">
        <f t="shared" si="21"/>
        <v>0</v>
      </c>
      <c r="Q28" s="348">
        <f t="shared" si="22"/>
        <v>0</v>
      </c>
      <c r="R28" s="349">
        <f t="shared" si="23"/>
        <v>0</v>
      </c>
      <c r="S28" s="141"/>
      <c r="T28" s="130">
        <f t="shared" si="24"/>
        <v>0</v>
      </c>
      <c r="U28" s="130">
        <f t="shared" si="25"/>
        <v>0</v>
      </c>
      <c r="V28" s="130">
        <f>IF(OR(F28=$B$63,F28=$B$65),IF(P28/I28/C28&gt;'Статистическая ЗП'!$N$5,IF(Калькуляция!$C$2='Статистическая ЗП'!$X$5,SUM('Расчет ФОТ'!P28:S28)*15.5%+'Расчет ФОТ'!C28*'Расчет ФОТ'!I28*'Статистическая ЗП'!$N$5*('Расчет ФОТ'!$V$5-15.5%),SUM(P28:S28)*$V$5),SUM('Расчет ФОТ'!P28:S28)*'Расчет ФОТ'!$V$5),0)</f>
        <v>0</v>
      </c>
      <c r="W28" s="130">
        <f>IF(F28=$B$64,IF(P28/I28/C28&gt;'Статистическая ЗП'!$N$5,IF(Калькуляция!$C$2='Статистическая ЗП'!$X$5,SUM('Расчет ФОТ'!P28:S28)*10.5%+'Расчет ФОТ'!C28*'Расчет ФОТ'!I28*'Статистическая ЗП'!$N$5*('Расчет ФОТ'!$W$5-10.5%),SUM(P28:S28)*$W$5),SUM('Расчет ФОТ'!P28:S28)*'Расчет ФОТ'!$W$5),0)</f>
        <v>0</v>
      </c>
      <c r="X28" s="135">
        <f t="shared" si="26"/>
        <v>0</v>
      </c>
      <c r="Y28" s="130">
        <f t="shared" si="27"/>
        <v>0</v>
      </c>
      <c r="Z28" s="143">
        <f t="shared" si="28"/>
        <v>0</v>
      </c>
      <c r="AA28" s="157" t="str">
        <f>IF(Z28&gt;0,IF(Калькуляция!$C$2='Статистическая ЗП'!$X$5,IF(OR(F28=$B$63,F28=$B$65),VLOOKUP(Калькуляция!$C$4,'Статистическая ЗП'!$M$5:$U$89,8,FALSE),VLOOKUP(Калькуляция!$C$4,'Статистическая ЗП'!$M$5:$U$89,9,FALSE)),IF(OR(F28=$B$63,F28=$B$65),VLOOKUP(Калькуляция!$C$4,'Статистическая ЗП'!$M$5:$U$89,6,FALSE),VLOOKUP(Калькуляция!$C$4,'Статистическая ЗП'!$M$5:$U$89,7,FALSE))),"")</f>
        <v/>
      </c>
      <c r="AB28" s="161" t="str">
        <f t="shared" si="29"/>
        <v/>
      </c>
      <c r="AE28" s="194">
        <f t="shared" si="14"/>
        <v>0</v>
      </c>
    </row>
    <row r="29" spans="2:31" x14ac:dyDescent="0.25">
      <c r="B29" s="112"/>
      <c r="C29" s="128"/>
      <c r="D29" s="165"/>
      <c r="E29" s="111"/>
      <c r="F29" s="111"/>
      <c r="G29" s="113"/>
      <c r="H29" s="113"/>
      <c r="I29" s="113"/>
      <c r="J29" s="136">
        <f t="shared" si="16"/>
        <v>0</v>
      </c>
      <c r="K29" s="142"/>
      <c r="L29" s="130">
        <f t="shared" si="17"/>
        <v>0</v>
      </c>
      <c r="M29" s="130">
        <f t="shared" si="18"/>
        <v>0</v>
      </c>
      <c r="N29" s="130">
        <f t="shared" si="19"/>
        <v>0</v>
      </c>
      <c r="O29" s="130">
        <f t="shared" si="20"/>
        <v>0</v>
      </c>
      <c r="P29" s="136">
        <f t="shared" si="21"/>
        <v>0</v>
      </c>
      <c r="Q29" s="348">
        <f t="shared" si="22"/>
        <v>0</v>
      </c>
      <c r="R29" s="349">
        <f t="shared" si="23"/>
        <v>0</v>
      </c>
      <c r="S29" s="141"/>
      <c r="T29" s="130">
        <f t="shared" si="24"/>
        <v>0</v>
      </c>
      <c r="U29" s="130">
        <f t="shared" si="25"/>
        <v>0</v>
      </c>
      <c r="V29" s="130">
        <f>IF(OR(F29=$B$63,F29=$B$65),IF(P29/I29/C29&gt;'Статистическая ЗП'!$N$5,IF(Калькуляция!$C$2='Статистическая ЗП'!$X$5,SUM('Расчет ФОТ'!P29:S29)*15.5%+'Расчет ФОТ'!C29*'Расчет ФОТ'!I29*'Статистическая ЗП'!$N$5*('Расчет ФОТ'!$V$5-15.5%),SUM(P29:S29)*$V$5),SUM('Расчет ФОТ'!P29:S29)*'Расчет ФОТ'!$V$5),0)</f>
        <v>0</v>
      </c>
      <c r="W29" s="130">
        <f>IF(F29=$B$64,IF(P29/I29/C29&gt;'Статистическая ЗП'!$N$5,IF(Калькуляция!$C$2='Статистическая ЗП'!$X$5,SUM('Расчет ФОТ'!P29:S29)*10.5%+'Расчет ФОТ'!C29*'Расчет ФОТ'!I29*'Статистическая ЗП'!$N$5*('Расчет ФОТ'!$W$5-10.5%),SUM(P29:S29)*$W$5),SUM('Расчет ФОТ'!P29:S29)*'Расчет ФОТ'!$W$5),0)</f>
        <v>0</v>
      </c>
      <c r="X29" s="135">
        <f t="shared" si="26"/>
        <v>0</v>
      </c>
      <c r="Y29" s="130">
        <f t="shared" si="27"/>
        <v>0</v>
      </c>
      <c r="Z29" s="143">
        <f t="shared" si="28"/>
        <v>0</v>
      </c>
      <c r="AA29" s="157" t="str">
        <f>IF(Z29&gt;0,IF(Калькуляция!$C$2='Статистическая ЗП'!$X$5,IF(OR(F29=$B$63,F29=$B$65),VLOOKUP(Калькуляция!$C$4,'Статистическая ЗП'!$M$5:$U$89,8,FALSE),VLOOKUP(Калькуляция!$C$4,'Статистическая ЗП'!$M$5:$U$89,9,FALSE)),IF(OR(F29=$B$63,F29=$B$65),VLOOKUP(Калькуляция!$C$4,'Статистическая ЗП'!$M$5:$U$89,6,FALSE),VLOOKUP(Калькуляция!$C$4,'Статистическая ЗП'!$M$5:$U$89,7,FALSE))),"")</f>
        <v/>
      </c>
      <c r="AB29" s="161" t="str">
        <f t="shared" si="29"/>
        <v/>
      </c>
      <c r="AE29" s="194">
        <f t="shared" si="14"/>
        <v>0</v>
      </c>
    </row>
    <row r="30" spans="2:31" x14ac:dyDescent="0.25">
      <c r="B30" s="112"/>
      <c r="C30" s="128"/>
      <c r="D30" s="165"/>
      <c r="E30" s="111"/>
      <c r="F30" s="111"/>
      <c r="G30" s="113"/>
      <c r="H30" s="113"/>
      <c r="I30" s="113"/>
      <c r="J30" s="136">
        <f t="shared" si="16"/>
        <v>0</v>
      </c>
      <c r="K30" s="142"/>
      <c r="L30" s="130">
        <f t="shared" si="17"/>
        <v>0</v>
      </c>
      <c r="M30" s="130">
        <f t="shared" si="18"/>
        <v>0</v>
      </c>
      <c r="N30" s="130">
        <f t="shared" si="19"/>
        <v>0</v>
      </c>
      <c r="O30" s="130">
        <f t="shared" si="20"/>
        <v>0</v>
      </c>
      <c r="P30" s="136">
        <f t="shared" si="21"/>
        <v>0</v>
      </c>
      <c r="Q30" s="348">
        <f t="shared" si="22"/>
        <v>0</v>
      </c>
      <c r="R30" s="349">
        <f t="shared" si="23"/>
        <v>0</v>
      </c>
      <c r="S30" s="141"/>
      <c r="T30" s="130">
        <f t="shared" si="24"/>
        <v>0</v>
      </c>
      <c r="U30" s="130">
        <f t="shared" si="25"/>
        <v>0</v>
      </c>
      <c r="V30" s="130">
        <f>IF(OR(F30=$B$63,F30=$B$65),IF(P30/I30/C30&gt;'Статистическая ЗП'!$N$5,IF(Калькуляция!$C$2='Статистическая ЗП'!$X$5,SUM('Расчет ФОТ'!P30:S30)*15.5%+'Расчет ФОТ'!C30*'Расчет ФОТ'!I30*'Статистическая ЗП'!$N$5*('Расчет ФОТ'!$V$5-15.5%),SUM(P30:S30)*$V$5),SUM('Расчет ФОТ'!P30:S30)*'Расчет ФОТ'!$V$5),0)</f>
        <v>0</v>
      </c>
      <c r="W30" s="130">
        <f>IF(F30=$B$64,IF(P30/I30/C30&gt;'Статистическая ЗП'!$N$5,IF(Калькуляция!$C$2='Статистическая ЗП'!$X$5,SUM('Расчет ФОТ'!P30:S30)*10.5%+'Расчет ФОТ'!C30*'Расчет ФОТ'!I30*'Статистическая ЗП'!$N$5*('Расчет ФОТ'!$W$5-10.5%),SUM(P30:S30)*$W$5),SUM('Расчет ФОТ'!P30:S30)*'Расчет ФОТ'!$W$5),0)</f>
        <v>0</v>
      </c>
      <c r="X30" s="135">
        <f t="shared" si="26"/>
        <v>0</v>
      </c>
      <c r="Y30" s="130">
        <f t="shared" si="27"/>
        <v>0</v>
      </c>
      <c r="Z30" s="143">
        <f t="shared" si="28"/>
        <v>0</v>
      </c>
      <c r="AA30" s="157" t="str">
        <f>IF(Z30&gt;0,IF(Калькуляция!$C$2='Статистическая ЗП'!$X$5,IF(OR(F30=$B$63,F30=$B$65),VLOOKUP(Калькуляция!$C$4,'Статистическая ЗП'!$M$5:$U$89,8,FALSE),VLOOKUP(Калькуляция!$C$4,'Статистическая ЗП'!$M$5:$U$89,9,FALSE)),IF(OR(F30=$B$63,F30=$B$65),VLOOKUP(Калькуляция!$C$4,'Статистическая ЗП'!$M$5:$U$89,6,FALSE),VLOOKUP(Калькуляция!$C$4,'Статистическая ЗП'!$M$5:$U$89,7,FALSE))),"")</f>
        <v/>
      </c>
      <c r="AB30" s="161" t="str">
        <f t="shared" si="29"/>
        <v/>
      </c>
      <c r="AE30" s="194">
        <f t="shared" si="14"/>
        <v>0</v>
      </c>
    </row>
    <row r="31" spans="2:31" x14ac:dyDescent="0.25">
      <c r="B31" s="112"/>
      <c r="C31" s="128"/>
      <c r="D31" s="165"/>
      <c r="E31" s="111"/>
      <c r="F31" s="111"/>
      <c r="G31" s="113"/>
      <c r="H31" s="113"/>
      <c r="I31" s="113"/>
      <c r="J31" s="136">
        <f t="shared" si="16"/>
        <v>0</v>
      </c>
      <c r="K31" s="142"/>
      <c r="L31" s="130">
        <f t="shared" si="17"/>
        <v>0</v>
      </c>
      <c r="M31" s="130">
        <f t="shared" si="18"/>
        <v>0</v>
      </c>
      <c r="N31" s="130">
        <f t="shared" si="19"/>
        <v>0</v>
      </c>
      <c r="O31" s="130">
        <f t="shared" si="20"/>
        <v>0</v>
      </c>
      <c r="P31" s="136">
        <f t="shared" si="21"/>
        <v>0</v>
      </c>
      <c r="Q31" s="348">
        <f t="shared" si="22"/>
        <v>0</v>
      </c>
      <c r="R31" s="349">
        <f t="shared" si="23"/>
        <v>0</v>
      </c>
      <c r="S31" s="141"/>
      <c r="T31" s="130">
        <f t="shared" si="24"/>
        <v>0</v>
      </c>
      <c r="U31" s="130">
        <f t="shared" si="25"/>
        <v>0</v>
      </c>
      <c r="V31" s="130">
        <f>IF(OR(F31=$B$63,F31=$B$65),IF(P31/I31/C31&gt;'Статистическая ЗП'!$N$5,IF(Калькуляция!$C$2='Статистическая ЗП'!$X$5,SUM('Расчет ФОТ'!P31:S31)*15.5%+'Расчет ФОТ'!C31*'Расчет ФОТ'!I31*'Статистическая ЗП'!$N$5*('Расчет ФОТ'!$V$5-15.5%),SUM(P31:S31)*$V$5),SUM('Расчет ФОТ'!P31:S31)*'Расчет ФОТ'!$V$5),0)</f>
        <v>0</v>
      </c>
      <c r="W31" s="130">
        <f>IF(F31=$B$64,IF(P31/I31/C31&gt;'Статистическая ЗП'!$N$5,IF(Калькуляция!$C$2='Статистическая ЗП'!$X$5,SUM('Расчет ФОТ'!P31:S31)*10.5%+'Расчет ФОТ'!C31*'Расчет ФОТ'!I31*'Статистическая ЗП'!$N$5*('Расчет ФОТ'!$W$5-10.5%),SUM(P31:S31)*$W$5),SUM('Расчет ФОТ'!P31:S31)*'Расчет ФОТ'!$W$5),0)</f>
        <v>0</v>
      </c>
      <c r="X31" s="135">
        <f t="shared" si="26"/>
        <v>0</v>
      </c>
      <c r="Y31" s="130">
        <f t="shared" si="27"/>
        <v>0</v>
      </c>
      <c r="Z31" s="143">
        <f t="shared" si="28"/>
        <v>0</v>
      </c>
      <c r="AA31" s="157" t="str">
        <f>IF(Z31&gt;0,IF(Калькуляция!$C$2='Статистическая ЗП'!$X$5,IF(OR(F31=$B$63,F31=$B$65),VLOOKUP(Калькуляция!$C$4,'Статистическая ЗП'!$M$5:$U$89,8,FALSE),VLOOKUP(Калькуляция!$C$4,'Статистическая ЗП'!$M$5:$U$89,9,FALSE)),IF(OR(F31=$B$63,F31=$B$65),VLOOKUP(Калькуляция!$C$4,'Статистическая ЗП'!$M$5:$U$89,6,FALSE),VLOOKUP(Калькуляция!$C$4,'Статистическая ЗП'!$M$5:$U$89,7,FALSE))),"")</f>
        <v/>
      </c>
      <c r="AB31" s="161" t="str">
        <f t="shared" si="29"/>
        <v/>
      </c>
      <c r="AE31" s="194">
        <f t="shared" si="14"/>
        <v>0</v>
      </c>
    </row>
    <row r="32" spans="2:31" x14ac:dyDescent="0.25">
      <c r="B32" s="112"/>
      <c r="C32" s="128"/>
      <c r="D32" s="165"/>
      <c r="E32" s="111"/>
      <c r="F32" s="111"/>
      <c r="G32" s="113"/>
      <c r="H32" s="113"/>
      <c r="I32" s="113"/>
      <c r="J32" s="136">
        <f t="shared" si="16"/>
        <v>0</v>
      </c>
      <c r="K32" s="142"/>
      <c r="L32" s="130">
        <f t="shared" si="17"/>
        <v>0</v>
      </c>
      <c r="M32" s="130">
        <f t="shared" si="18"/>
        <v>0</v>
      </c>
      <c r="N32" s="130">
        <f t="shared" si="19"/>
        <v>0</v>
      </c>
      <c r="O32" s="130">
        <f t="shared" si="20"/>
        <v>0</v>
      </c>
      <c r="P32" s="136">
        <f t="shared" si="21"/>
        <v>0</v>
      </c>
      <c r="Q32" s="348">
        <f t="shared" si="22"/>
        <v>0</v>
      </c>
      <c r="R32" s="349">
        <f t="shared" si="23"/>
        <v>0</v>
      </c>
      <c r="S32" s="141"/>
      <c r="T32" s="130">
        <f t="shared" si="24"/>
        <v>0</v>
      </c>
      <c r="U32" s="130">
        <f t="shared" si="25"/>
        <v>0</v>
      </c>
      <c r="V32" s="130">
        <f>IF(OR(F32=$B$63,F32=$B$65),IF(P32/I32/C32&gt;'Статистическая ЗП'!$N$5,IF(Калькуляция!$C$2='Статистическая ЗП'!$X$5,SUM('Расчет ФОТ'!P32:S32)*15.5%+'Расчет ФОТ'!C32*'Расчет ФОТ'!I32*'Статистическая ЗП'!$N$5*('Расчет ФОТ'!$V$5-15.5%),SUM(P32:S32)*$V$5),SUM('Расчет ФОТ'!P32:S32)*'Расчет ФОТ'!$V$5),0)</f>
        <v>0</v>
      </c>
      <c r="W32" s="130">
        <f>IF(F32=$B$64,IF(P32/I32/C32&gt;'Статистическая ЗП'!$N$5,IF(Калькуляция!$C$2='Статистическая ЗП'!$X$5,SUM('Расчет ФОТ'!P32:S32)*10.5%+'Расчет ФОТ'!C32*'Расчет ФОТ'!I32*'Статистическая ЗП'!$N$5*('Расчет ФОТ'!$W$5-10.5%),SUM(P32:S32)*$W$5),SUM('Расчет ФОТ'!P32:S32)*'Расчет ФОТ'!$W$5),0)</f>
        <v>0</v>
      </c>
      <c r="X32" s="135">
        <f t="shared" si="26"/>
        <v>0</v>
      </c>
      <c r="Y32" s="130">
        <f t="shared" si="27"/>
        <v>0</v>
      </c>
      <c r="Z32" s="143">
        <f t="shared" si="28"/>
        <v>0</v>
      </c>
      <c r="AA32" s="157" t="str">
        <f>IF(Z32&gt;0,IF(Калькуляция!$C$2='Статистическая ЗП'!$X$5,IF(OR(F32=$B$63,F32=$B$65),VLOOKUP(Калькуляция!$C$4,'Статистическая ЗП'!$M$5:$U$89,8,FALSE),VLOOKUP(Калькуляция!$C$4,'Статистическая ЗП'!$M$5:$U$89,9,FALSE)),IF(OR(F32=$B$63,F32=$B$65),VLOOKUP(Калькуляция!$C$4,'Статистическая ЗП'!$M$5:$U$89,6,FALSE),VLOOKUP(Калькуляция!$C$4,'Статистическая ЗП'!$M$5:$U$89,7,FALSE))),"")</f>
        <v/>
      </c>
      <c r="AB32" s="161" t="str">
        <f t="shared" si="29"/>
        <v/>
      </c>
      <c r="AE32" s="194">
        <f t="shared" si="14"/>
        <v>0</v>
      </c>
    </row>
    <row r="33" spans="2:31" x14ac:dyDescent="0.25">
      <c r="B33" s="112"/>
      <c r="C33" s="128"/>
      <c r="D33" s="165"/>
      <c r="E33" s="111"/>
      <c r="F33" s="111"/>
      <c r="G33" s="113"/>
      <c r="H33" s="113"/>
      <c r="I33" s="113"/>
      <c r="J33" s="136">
        <f t="shared" si="16"/>
        <v>0</v>
      </c>
      <c r="K33" s="142"/>
      <c r="L33" s="130">
        <f t="shared" si="17"/>
        <v>0</v>
      </c>
      <c r="M33" s="130">
        <f t="shared" si="18"/>
        <v>0</v>
      </c>
      <c r="N33" s="130">
        <f t="shared" si="19"/>
        <v>0</v>
      </c>
      <c r="O33" s="130">
        <f t="shared" si="20"/>
        <v>0</v>
      </c>
      <c r="P33" s="136">
        <f t="shared" si="21"/>
        <v>0</v>
      </c>
      <c r="Q33" s="348">
        <f t="shared" si="22"/>
        <v>0</v>
      </c>
      <c r="R33" s="349">
        <f t="shared" si="23"/>
        <v>0</v>
      </c>
      <c r="S33" s="141"/>
      <c r="T33" s="130">
        <f t="shared" si="24"/>
        <v>0</v>
      </c>
      <c r="U33" s="130">
        <f t="shared" si="25"/>
        <v>0</v>
      </c>
      <c r="V33" s="130">
        <f>IF(OR(F33=$B$63,F33=$B$65),IF(P33/I33/C33&gt;'Статистическая ЗП'!$N$5,IF(Калькуляция!$C$2='Статистическая ЗП'!$X$5,SUM('Расчет ФОТ'!P33:S33)*15.5%+'Расчет ФОТ'!C33*'Расчет ФОТ'!I33*'Статистическая ЗП'!$N$5*('Расчет ФОТ'!$V$5-15.5%),SUM(P33:S33)*$V$5),SUM('Расчет ФОТ'!P33:S33)*'Расчет ФОТ'!$V$5),0)</f>
        <v>0</v>
      </c>
      <c r="W33" s="130">
        <f>IF(F33=$B$64,IF(P33/I33/C33&gt;'Статистическая ЗП'!$N$5,IF(Калькуляция!$C$2='Статистическая ЗП'!$X$5,SUM('Расчет ФОТ'!P33:S33)*10.5%+'Расчет ФОТ'!C33*'Расчет ФОТ'!I33*'Статистическая ЗП'!$N$5*('Расчет ФОТ'!$W$5-10.5%),SUM(P33:S33)*$W$5),SUM('Расчет ФОТ'!P33:S33)*'Расчет ФОТ'!$W$5),0)</f>
        <v>0</v>
      </c>
      <c r="X33" s="135">
        <f t="shared" si="26"/>
        <v>0</v>
      </c>
      <c r="Y33" s="130">
        <f t="shared" si="27"/>
        <v>0</v>
      </c>
      <c r="Z33" s="143">
        <f t="shared" si="28"/>
        <v>0</v>
      </c>
      <c r="AA33" s="157" t="str">
        <f>IF(Z33&gt;0,IF(Калькуляция!$C$2='Статистическая ЗП'!$X$5,IF(OR(F33=$B$63,F33=$B$65),VLOOKUP(Калькуляция!$C$4,'Статистическая ЗП'!$M$5:$U$89,8,FALSE),VLOOKUP(Калькуляция!$C$4,'Статистическая ЗП'!$M$5:$U$89,9,FALSE)),IF(OR(F33=$B$63,F33=$B$65),VLOOKUP(Калькуляция!$C$4,'Статистическая ЗП'!$M$5:$U$89,6,FALSE),VLOOKUP(Калькуляция!$C$4,'Статистическая ЗП'!$M$5:$U$89,7,FALSE))),"")</f>
        <v/>
      </c>
      <c r="AB33" s="161" t="str">
        <f t="shared" si="29"/>
        <v/>
      </c>
      <c r="AE33" s="194">
        <f t="shared" si="14"/>
        <v>0</v>
      </c>
    </row>
    <row r="34" spans="2:31" x14ac:dyDescent="0.25">
      <c r="B34" s="112"/>
      <c r="C34" s="128"/>
      <c r="D34" s="165"/>
      <c r="E34" s="111"/>
      <c r="F34" s="111"/>
      <c r="G34" s="113"/>
      <c r="H34" s="113"/>
      <c r="I34" s="113"/>
      <c r="J34" s="136">
        <f t="shared" si="16"/>
        <v>0</v>
      </c>
      <c r="K34" s="142"/>
      <c r="L34" s="130">
        <f t="shared" si="17"/>
        <v>0</v>
      </c>
      <c r="M34" s="130">
        <f t="shared" si="18"/>
        <v>0</v>
      </c>
      <c r="N34" s="130">
        <f t="shared" si="19"/>
        <v>0</v>
      </c>
      <c r="O34" s="130">
        <f t="shared" si="20"/>
        <v>0</v>
      </c>
      <c r="P34" s="136">
        <f t="shared" si="21"/>
        <v>0</v>
      </c>
      <c r="Q34" s="348">
        <f t="shared" si="22"/>
        <v>0</v>
      </c>
      <c r="R34" s="349">
        <f t="shared" si="23"/>
        <v>0</v>
      </c>
      <c r="S34" s="141"/>
      <c r="T34" s="130">
        <f t="shared" si="24"/>
        <v>0</v>
      </c>
      <c r="U34" s="130">
        <f t="shared" si="25"/>
        <v>0</v>
      </c>
      <c r="V34" s="130">
        <f>IF(OR(F34=$B$63,F34=$B$65),IF(P34/I34/C34&gt;'Статистическая ЗП'!$N$5,IF(Калькуляция!$C$2='Статистическая ЗП'!$X$5,SUM('Расчет ФОТ'!P34:S34)*15.5%+'Расчет ФОТ'!C34*'Расчет ФОТ'!I34*'Статистическая ЗП'!$N$5*('Расчет ФОТ'!$V$5-15.5%),SUM(P34:S34)*$V$5),SUM('Расчет ФОТ'!P34:S34)*'Расчет ФОТ'!$V$5),0)</f>
        <v>0</v>
      </c>
      <c r="W34" s="130">
        <f>IF(F34=$B$64,IF(P34/I34/C34&gt;'Статистическая ЗП'!$N$5,IF(Калькуляция!$C$2='Статистическая ЗП'!$X$5,SUM('Расчет ФОТ'!P34:S34)*10.5%+'Расчет ФОТ'!C34*'Расчет ФОТ'!I34*'Статистическая ЗП'!$N$5*('Расчет ФОТ'!$W$5-10.5%),SUM(P34:S34)*$W$5),SUM('Расчет ФОТ'!P34:S34)*'Расчет ФОТ'!$W$5),0)</f>
        <v>0</v>
      </c>
      <c r="X34" s="135">
        <f t="shared" si="26"/>
        <v>0</v>
      </c>
      <c r="Y34" s="130">
        <f t="shared" si="27"/>
        <v>0</v>
      </c>
      <c r="Z34" s="143">
        <f t="shared" si="28"/>
        <v>0</v>
      </c>
      <c r="AA34" s="157" t="str">
        <f>IF(Z34&gt;0,IF(Калькуляция!$C$2='Статистическая ЗП'!$X$5,IF(OR(F34=$B$63,F34=$B$65),VLOOKUP(Калькуляция!$C$4,'Статистическая ЗП'!$M$5:$U$89,8,FALSE),VLOOKUP(Калькуляция!$C$4,'Статистическая ЗП'!$M$5:$U$89,9,FALSE)),IF(OR(F34=$B$63,F34=$B$65),VLOOKUP(Калькуляция!$C$4,'Статистическая ЗП'!$M$5:$U$89,6,FALSE),VLOOKUP(Калькуляция!$C$4,'Статистическая ЗП'!$M$5:$U$89,7,FALSE))),"")</f>
        <v/>
      </c>
      <c r="AB34" s="161" t="str">
        <f t="shared" si="29"/>
        <v/>
      </c>
      <c r="AE34" s="194">
        <f t="shared" si="14"/>
        <v>0</v>
      </c>
    </row>
    <row r="35" spans="2:31" x14ac:dyDescent="0.25">
      <c r="B35" s="112"/>
      <c r="C35" s="128"/>
      <c r="D35" s="165"/>
      <c r="E35" s="111"/>
      <c r="F35" s="111"/>
      <c r="G35" s="113"/>
      <c r="H35" s="113"/>
      <c r="I35" s="113"/>
      <c r="J35" s="136">
        <f t="shared" si="16"/>
        <v>0</v>
      </c>
      <c r="K35" s="142"/>
      <c r="L35" s="130">
        <f t="shared" si="17"/>
        <v>0</v>
      </c>
      <c r="M35" s="130">
        <f t="shared" si="18"/>
        <v>0</v>
      </c>
      <c r="N35" s="130">
        <f t="shared" si="19"/>
        <v>0</v>
      </c>
      <c r="O35" s="130">
        <f t="shared" si="20"/>
        <v>0</v>
      </c>
      <c r="P35" s="136">
        <f t="shared" si="21"/>
        <v>0</v>
      </c>
      <c r="Q35" s="348">
        <f t="shared" si="22"/>
        <v>0</v>
      </c>
      <c r="R35" s="349">
        <f t="shared" si="23"/>
        <v>0</v>
      </c>
      <c r="S35" s="141"/>
      <c r="T35" s="130">
        <f t="shared" si="24"/>
        <v>0</v>
      </c>
      <c r="U35" s="130">
        <f t="shared" si="25"/>
        <v>0</v>
      </c>
      <c r="V35" s="130">
        <f>IF(OR(F35=$B$63,F35=$B$65),IF(P35/I35/C35&gt;'Статистическая ЗП'!$N$5,IF(Калькуляция!$C$2='Статистическая ЗП'!$X$5,SUM('Расчет ФОТ'!P35:S35)*15.5%+'Расчет ФОТ'!C35*'Расчет ФОТ'!I35*'Статистическая ЗП'!$N$5*('Расчет ФОТ'!$V$5-15.5%),SUM(P35:S35)*$V$5),SUM('Расчет ФОТ'!P35:S35)*'Расчет ФОТ'!$V$5),0)</f>
        <v>0</v>
      </c>
      <c r="W35" s="130">
        <f>IF(F35=$B$64,IF(P35/I35/C35&gt;'Статистическая ЗП'!$N$5,IF(Калькуляция!$C$2='Статистическая ЗП'!$X$5,SUM('Расчет ФОТ'!P35:S35)*10.5%+'Расчет ФОТ'!C35*'Расчет ФОТ'!I35*'Статистическая ЗП'!$N$5*('Расчет ФОТ'!$W$5-10.5%),SUM(P35:S35)*$W$5),SUM('Расчет ФОТ'!P35:S35)*'Расчет ФОТ'!$W$5),0)</f>
        <v>0</v>
      </c>
      <c r="X35" s="135">
        <f t="shared" si="26"/>
        <v>0</v>
      </c>
      <c r="Y35" s="130">
        <f t="shared" si="27"/>
        <v>0</v>
      </c>
      <c r="Z35" s="143">
        <f t="shared" si="28"/>
        <v>0</v>
      </c>
      <c r="AA35" s="157" t="str">
        <f>IF(Z35&gt;0,IF(Калькуляция!$C$2='Статистическая ЗП'!$X$5,IF(OR(F35=$B$63,F35=$B$65),VLOOKUP(Калькуляция!$C$4,'Статистическая ЗП'!$M$5:$U$89,8,FALSE),VLOOKUP(Калькуляция!$C$4,'Статистическая ЗП'!$M$5:$U$89,9,FALSE)),IF(OR(F35=$B$63,F35=$B$65),VLOOKUP(Калькуляция!$C$4,'Статистическая ЗП'!$M$5:$U$89,6,FALSE),VLOOKUP(Калькуляция!$C$4,'Статистическая ЗП'!$M$5:$U$89,7,FALSE))),"")</f>
        <v/>
      </c>
      <c r="AB35" s="161" t="str">
        <f t="shared" si="29"/>
        <v/>
      </c>
      <c r="AE35" s="194">
        <f t="shared" si="14"/>
        <v>0</v>
      </c>
    </row>
    <row r="36" spans="2:31" x14ac:dyDescent="0.25">
      <c r="B36" s="112"/>
      <c r="C36" s="128"/>
      <c r="D36" s="165"/>
      <c r="E36" s="111"/>
      <c r="F36" s="111"/>
      <c r="G36" s="113"/>
      <c r="H36" s="113"/>
      <c r="I36" s="113"/>
      <c r="J36" s="136">
        <f t="shared" si="16"/>
        <v>0</v>
      </c>
      <c r="K36" s="142"/>
      <c r="L36" s="130">
        <f t="shared" si="17"/>
        <v>0</v>
      </c>
      <c r="M36" s="130">
        <f t="shared" si="18"/>
        <v>0</v>
      </c>
      <c r="N36" s="130">
        <f t="shared" si="19"/>
        <v>0</v>
      </c>
      <c r="O36" s="130">
        <f t="shared" si="20"/>
        <v>0</v>
      </c>
      <c r="P36" s="136">
        <f t="shared" si="21"/>
        <v>0</v>
      </c>
      <c r="Q36" s="348">
        <f t="shared" si="22"/>
        <v>0</v>
      </c>
      <c r="R36" s="349">
        <f t="shared" si="23"/>
        <v>0</v>
      </c>
      <c r="S36" s="141"/>
      <c r="T36" s="130">
        <f t="shared" si="24"/>
        <v>0</v>
      </c>
      <c r="U36" s="130">
        <f t="shared" si="25"/>
        <v>0</v>
      </c>
      <c r="V36" s="130">
        <f>IF(OR(F36=$B$63,F36=$B$65),IF(P36/I36/C36&gt;'Статистическая ЗП'!$N$5,IF(Калькуляция!$C$2='Статистическая ЗП'!$X$5,SUM('Расчет ФОТ'!P36:S36)*15.5%+'Расчет ФОТ'!C36*'Расчет ФОТ'!I36*'Статистическая ЗП'!$N$5*('Расчет ФОТ'!$V$5-15.5%),SUM(P36:S36)*$V$5),SUM('Расчет ФОТ'!P36:S36)*'Расчет ФОТ'!$V$5),0)</f>
        <v>0</v>
      </c>
      <c r="W36" s="130">
        <f>IF(F36=$B$64,IF(P36/I36/C36&gt;'Статистическая ЗП'!$N$5,IF(Калькуляция!$C$2='Статистическая ЗП'!$X$5,SUM('Расчет ФОТ'!P36:S36)*10.5%+'Расчет ФОТ'!C36*'Расчет ФОТ'!I36*'Статистическая ЗП'!$N$5*('Расчет ФОТ'!$W$5-10.5%),SUM(P36:S36)*$W$5),SUM('Расчет ФОТ'!P36:S36)*'Расчет ФОТ'!$W$5),0)</f>
        <v>0</v>
      </c>
      <c r="X36" s="135">
        <f t="shared" si="26"/>
        <v>0</v>
      </c>
      <c r="Y36" s="130">
        <f t="shared" si="27"/>
        <v>0</v>
      </c>
      <c r="Z36" s="143">
        <f t="shared" si="28"/>
        <v>0</v>
      </c>
      <c r="AA36" s="157" t="str">
        <f>IF(Z36&gt;0,IF(Калькуляция!$C$2='Статистическая ЗП'!$X$5,IF(OR(F36=$B$63,F36=$B$65),VLOOKUP(Калькуляция!$C$4,'Статистическая ЗП'!$M$5:$U$89,8,FALSE),VLOOKUP(Калькуляция!$C$4,'Статистическая ЗП'!$M$5:$U$89,9,FALSE)),IF(OR(F36=$B$63,F36=$B$65),VLOOKUP(Калькуляция!$C$4,'Статистическая ЗП'!$M$5:$U$89,6,FALSE),VLOOKUP(Калькуляция!$C$4,'Статистическая ЗП'!$M$5:$U$89,7,FALSE))),"")</f>
        <v/>
      </c>
      <c r="AB36" s="161" t="str">
        <f t="shared" si="29"/>
        <v/>
      </c>
      <c r="AE36" s="194">
        <f t="shared" si="14"/>
        <v>0</v>
      </c>
    </row>
    <row r="37" spans="2:31" x14ac:dyDescent="0.25">
      <c r="B37" s="112"/>
      <c r="C37" s="128"/>
      <c r="D37" s="165"/>
      <c r="E37" s="111"/>
      <c r="F37" s="111"/>
      <c r="G37" s="113"/>
      <c r="H37" s="113"/>
      <c r="I37" s="113"/>
      <c r="J37" s="136">
        <f t="shared" si="16"/>
        <v>0</v>
      </c>
      <c r="K37" s="142"/>
      <c r="L37" s="130">
        <f t="shared" si="17"/>
        <v>0</v>
      </c>
      <c r="M37" s="130">
        <f t="shared" si="18"/>
        <v>0</v>
      </c>
      <c r="N37" s="130">
        <f t="shared" si="19"/>
        <v>0</v>
      </c>
      <c r="O37" s="130">
        <f t="shared" si="20"/>
        <v>0</v>
      </c>
      <c r="P37" s="136">
        <f t="shared" si="21"/>
        <v>0</v>
      </c>
      <c r="Q37" s="348">
        <f t="shared" si="22"/>
        <v>0</v>
      </c>
      <c r="R37" s="349">
        <f t="shared" si="23"/>
        <v>0</v>
      </c>
      <c r="S37" s="141"/>
      <c r="T37" s="130">
        <f t="shared" si="24"/>
        <v>0</v>
      </c>
      <c r="U37" s="130">
        <f t="shared" si="25"/>
        <v>0</v>
      </c>
      <c r="V37" s="130">
        <f>IF(OR(F37=$B$63,F37=$B$65),IF(P37/I37/C37&gt;'Статистическая ЗП'!$N$5,IF(Калькуляция!$C$2='Статистическая ЗП'!$X$5,SUM('Расчет ФОТ'!P37:S37)*15.5%+'Расчет ФОТ'!C37*'Расчет ФОТ'!I37*'Статистическая ЗП'!$N$5*('Расчет ФОТ'!$V$5-15.5%),SUM(P37:S37)*$V$5),SUM('Расчет ФОТ'!P37:S37)*'Расчет ФОТ'!$V$5),0)</f>
        <v>0</v>
      </c>
      <c r="W37" s="130">
        <f>IF(F37=$B$64,IF(P37/I37/C37&gt;'Статистическая ЗП'!$N$5,IF(Калькуляция!$C$2='Статистическая ЗП'!$X$5,SUM('Расчет ФОТ'!P37:S37)*10.5%+'Расчет ФОТ'!C37*'Расчет ФОТ'!I37*'Статистическая ЗП'!$N$5*('Расчет ФОТ'!$W$5-10.5%),SUM(P37:S37)*$W$5),SUM('Расчет ФОТ'!P37:S37)*'Расчет ФОТ'!$W$5),0)</f>
        <v>0</v>
      </c>
      <c r="X37" s="135">
        <f t="shared" si="26"/>
        <v>0</v>
      </c>
      <c r="Y37" s="130">
        <f t="shared" si="27"/>
        <v>0</v>
      </c>
      <c r="Z37" s="143">
        <f t="shared" si="28"/>
        <v>0</v>
      </c>
      <c r="AA37" s="157" t="str">
        <f>IF(Z37&gt;0,IF(Калькуляция!$C$2='Статистическая ЗП'!$X$5,IF(OR(F37=$B$63,F37=$B$65),VLOOKUP(Калькуляция!$C$4,'Статистическая ЗП'!$M$5:$U$89,8,FALSE),VLOOKUP(Калькуляция!$C$4,'Статистическая ЗП'!$M$5:$U$89,9,FALSE)),IF(OR(F37=$B$63,F37=$B$65),VLOOKUP(Калькуляция!$C$4,'Статистическая ЗП'!$M$5:$U$89,6,FALSE),VLOOKUP(Калькуляция!$C$4,'Статистическая ЗП'!$M$5:$U$89,7,FALSE))),"")</f>
        <v/>
      </c>
      <c r="AB37" s="161" t="str">
        <f t="shared" si="29"/>
        <v/>
      </c>
      <c r="AE37" s="194">
        <f t="shared" si="14"/>
        <v>0</v>
      </c>
    </row>
    <row r="38" spans="2:31" x14ac:dyDescent="0.25">
      <c r="B38" s="112"/>
      <c r="C38" s="128"/>
      <c r="D38" s="165"/>
      <c r="E38" s="111"/>
      <c r="F38" s="111"/>
      <c r="G38" s="113"/>
      <c r="H38" s="113"/>
      <c r="I38" s="113"/>
      <c r="J38" s="136">
        <f t="shared" si="16"/>
        <v>0</v>
      </c>
      <c r="K38" s="142"/>
      <c r="L38" s="130">
        <f t="shared" si="17"/>
        <v>0</v>
      </c>
      <c r="M38" s="130">
        <f t="shared" si="18"/>
        <v>0</v>
      </c>
      <c r="N38" s="130">
        <f t="shared" si="19"/>
        <v>0</v>
      </c>
      <c r="O38" s="130">
        <f t="shared" si="20"/>
        <v>0</v>
      </c>
      <c r="P38" s="136">
        <f t="shared" si="21"/>
        <v>0</v>
      </c>
      <c r="Q38" s="348">
        <f t="shared" si="22"/>
        <v>0</v>
      </c>
      <c r="R38" s="349">
        <f t="shared" si="23"/>
        <v>0</v>
      </c>
      <c r="S38" s="141"/>
      <c r="T38" s="130">
        <f t="shared" si="24"/>
        <v>0</v>
      </c>
      <c r="U38" s="130">
        <f t="shared" si="25"/>
        <v>0</v>
      </c>
      <c r="V38" s="130">
        <f>IF(OR(F38=$B$63,F38=$B$65),IF(P38/I38/C38&gt;'Статистическая ЗП'!$N$5,IF(Калькуляция!$C$2='Статистическая ЗП'!$X$5,SUM('Расчет ФОТ'!P38:S38)*15.5%+'Расчет ФОТ'!C38*'Расчет ФОТ'!I38*'Статистическая ЗП'!$N$5*('Расчет ФОТ'!$V$5-15.5%),SUM(P38:S38)*$V$5),SUM('Расчет ФОТ'!P38:S38)*'Расчет ФОТ'!$V$5),0)</f>
        <v>0</v>
      </c>
      <c r="W38" s="130">
        <f>IF(F38=$B$64,IF(P38/I38/C38&gt;'Статистическая ЗП'!$N$5,IF(Калькуляция!$C$2='Статистическая ЗП'!$X$5,SUM('Расчет ФОТ'!P38:S38)*10.5%+'Расчет ФОТ'!C38*'Расчет ФОТ'!I38*'Статистическая ЗП'!$N$5*('Расчет ФОТ'!$W$5-10.5%),SUM(P38:S38)*$W$5),SUM('Расчет ФОТ'!P38:S38)*'Расчет ФОТ'!$W$5),0)</f>
        <v>0</v>
      </c>
      <c r="X38" s="135">
        <f t="shared" si="26"/>
        <v>0</v>
      </c>
      <c r="Y38" s="130">
        <f t="shared" si="27"/>
        <v>0</v>
      </c>
      <c r="Z38" s="143">
        <f t="shared" si="28"/>
        <v>0</v>
      </c>
      <c r="AA38" s="157" t="str">
        <f>IF(Z38&gt;0,IF(Калькуляция!$C$2='Статистическая ЗП'!$X$5,IF(OR(F38=$B$63,F38=$B$65),VLOOKUP(Калькуляция!$C$4,'Статистическая ЗП'!$M$5:$U$89,8,FALSE),VLOOKUP(Калькуляция!$C$4,'Статистическая ЗП'!$M$5:$U$89,9,FALSE)),IF(OR(F38=$B$63,F38=$B$65),VLOOKUP(Калькуляция!$C$4,'Статистическая ЗП'!$M$5:$U$89,6,FALSE),VLOOKUP(Калькуляция!$C$4,'Статистическая ЗП'!$M$5:$U$89,7,FALSE))),"")</f>
        <v/>
      </c>
      <c r="AB38" s="161" t="str">
        <f t="shared" si="29"/>
        <v/>
      </c>
      <c r="AE38" s="194">
        <f t="shared" si="14"/>
        <v>0</v>
      </c>
    </row>
    <row r="39" spans="2:31" x14ac:dyDescent="0.25">
      <c r="B39" s="112"/>
      <c r="C39" s="128"/>
      <c r="D39" s="165"/>
      <c r="E39" s="111"/>
      <c r="F39" s="111"/>
      <c r="G39" s="113"/>
      <c r="H39" s="113"/>
      <c r="I39" s="113"/>
      <c r="J39" s="136">
        <f t="shared" si="16"/>
        <v>0</v>
      </c>
      <c r="K39" s="142"/>
      <c r="L39" s="130">
        <f t="shared" si="17"/>
        <v>0</v>
      </c>
      <c r="M39" s="130">
        <f t="shared" si="18"/>
        <v>0</v>
      </c>
      <c r="N39" s="130">
        <f t="shared" si="19"/>
        <v>0</v>
      </c>
      <c r="O39" s="130">
        <f t="shared" si="20"/>
        <v>0</v>
      </c>
      <c r="P39" s="136">
        <f t="shared" si="21"/>
        <v>0</v>
      </c>
      <c r="Q39" s="348">
        <f t="shared" si="22"/>
        <v>0</v>
      </c>
      <c r="R39" s="349">
        <f t="shared" si="23"/>
        <v>0</v>
      </c>
      <c r="S39" s="141"/>
      <c r="T39" s="130">
        <f t="shared" si="24"/>
        <v>0</v>
      </c>
      <c r="U39" s="130">
        <f t="shared" si="25"/>
        <v>0</v>
      </c>
      <c r="V39" s="130">
        <f>IF(OR(F39=$B$63,F39=$B$65),IF(P39/I39/C39&gt;'Статистическая ЗП'!$N$5,IF(Калькуляция!$C$2='Статистическая ЗП'!$X$5,SUM('Расчет ФОТ'!P39:S39)*15.5%+'Расчет ФОТ'!C39*'Расчет ФОТ'!I39*'Статистическая ЗП'!$N$5*('Расчет ФОТ'!$V$5-15.5%),SUM(P39:S39)*$V$5),SUM('Расчет ФОТ'!P39:S39)*'Расчет ФОТ'!$V$5),0)</f>
        <v>0</v>
      </c>
      <c r="W39" s="130">
        <f>IF(F39=$B$64,IF(P39/I39/C39&gt;'Статистическая ЗП'!$N$5,IF(Калькуляция!$C$2='Статистическая ЗП'!$X$5,SUM('Расчет ФОТ'!P39:S39)*10.5%+'Расчет ФОТ'!C39*'Расчет ФОТ'!I39*'Статистическая ЗП'!$N$5*('Расчет ФОТ'!$W$5-10.5%),SUM(P39:S39)*$W$5),SUM('Расчет ФОТ'!P39:S39)*'Расчет ФОТ'!$W$5),0)</f>
        <v>0</v>
      </c>
      <c r="X39" s="135">
        <f t="shared" si="26"/>
        <v>0</v>
      </c>
      <c r="Y39" s="130">
        <f t="shared" si="27"/>
        <v>0</v>
      </c>
      <c r="Z39" s="143">
        <f t="shared" si="28"/>
        <v>0</v>
      </c>
      <c r="AA39" s="157" t="str">
        <f>IF(Z39&gt;0,IF(Калькуляция!$C$2='Статистическая ЗП'!$X$5,IF(OR(F39=$B$63,F39=$B$65),VLOOKUP(Калькуляция!$C$4,'Статистическая ЗП'!$M$5:$U$89,8,FALSE),VLOOKUP(Калькуляция!$C$4,'Статистическая ЗП'!$M$5:$U$89,9,FALSE)),IF(OR(F39=$B$63,F39=$B$65),VLOOKUP(Калькуляция!$C$4,'Статистическая ЗП'!$M$5:$U$89,6,FALSE),VLOOKUP(Калькуляция!$C$4,'Статистическая ЗП'!$M$5:$U$89,7,FALSE))),"")</f>
        <v/>
      </c>
      <c r="AB39" s="161" t="str">
        <f t="shared" si="29"/>
        <v/>
      </c>
      <c r="AE39" s="194">
        <f t="shared" si="14"/>
        <v>0</v>
      </c>
    </row>
    <row r="40" spans="2:31" x14ac:dyDescent="0.25">
      <c r="B40" s="112"/>
      <c r="C40" s="128"/>
      <c r="D40" s="165"/>
      <c r="E40" s="111"/>
      <c r="F40" s="111"/>
      <c r="G40" s="113"/>
      <c r="H40" s="113"/>
      <c r="I40" s="113"/>
      <c r="J40" s="136">
        <f t="shared" si="16"/>
        <v>0</v>
      </c>
      <c r="K40" s="142"/>
      <c r="L40" s="130">
        <f t="shared" si="17"/>
        <v>0</v>
      </c>
      <c r="M40" s="130">
        <f t="shared" si="18"/>
        <v>0</v>
      </c>
      <c r="N40" s="130">
        <f t="shared" si="19"/>
        <v>0</v>
      </c>
      <c r="O40" s="130">
        <f t="shared" si="20"/>
        <v>0</v>
      </c>
      <c r="P40" s="136">
        <f t="shared" si="21"/>
        <v>0</v>
      </c>
      <c r="Q40" s="348">
        <f t="shared" si="22"/>
        <v>0</v>
      </c>
      <c r="R40" s="349">
        <f t="shared" si="23"/>
        <v>0</v>
      </c>
      <c r="S40" s="141"/>
      <c r="T40" s="130">
        <f t="shared" si="24"/>
        <v>0</v>
      </c>
      <c r="U40" s="130">
        <f t="shared" si="25"/>
        <v>0</v>
      </c>
      <c r="V40" s="130">
        <f>IF(OR(F40=$B$63,F40=$B$65),IF(P40/I40/C40&gt;'Статистическая ЗП'!$N$5,IF(Калькуляция!$C$2='Статистическая ЗП'!$X$5,SUM('Расчет ФОТ'!P40:S40)*15.5%+'Расчет ФОТ'!C40*'Расчет ФОТ'!I40*'Статистическая ЗП'!$N$5*('Расчет ФОТ'!$V$5-15.5%),SUM(P40:S40)*$V$5),SUM('Расчет ФОТ'!P40:S40)*'Расчет ФОТ'!$V$5),0)</f>
        <v>0</v>
      </c>
      <c r="W40" s="130">
        <f>IF(F40=$B$64,IF(P40/I40/C40&gt;'Статистическая ЗП'!$N$5,IF(Калькуляция!$C$2='Статистическая ЗП'!$X$5,SUM('Расчет ФОТ'!P40:S40)*10.5%+'Расчет ФОТ'!C40*'Расчет ФОТ'!I40*'Статистическая ЗП'!$N$5*('Расчет ФОТ'!$W$5-10.5%),SUM(P40:S40)*$W$5),SUM('Расчет ФОТ'!P40:S40)*'Расчет ФОТ'!$W$5),0)</f>
        <v>0</v>
      </c>
      <c r="X40" s="135">
        <f t="shared" si="26"/>
        <v>0</v>
      </c>
      <c r="Y40" s="130">
        <f t="shared" si="27"/>
        <v>0</v>
      </c>
      <c r="Z40" s="143">
        <f t="shared" si="28"/>
        <v>0</v>
      </c>
      <c r="AA40" s="157" t="str">
        <f>IF(Z40&gt;0,IF(Калькуляция!$C$2='Статистическая ЗП'!$X$5,IF(OR(F40=$B$63,F40=$B$65),VLOOKUP(Калькуляция!$C$4,'Статистическая ЗП'!$M$5:$U$89,8,FALSE),VLOOKUP(Калькуляция!$C$4,'Статистическая ЗП'!$M$5:$U$89,9,FALSE)),IF(OR(F40=$B$63,F40=$B$65),VLOOKUP(Калькуляция!$C$4,'Статистическая ЗП'!$M$5:$U$89,6,FALSE),VLOOKUP(Калькуляция!$C$4,'Статистическая ЗП'!$M$5:$U$89,7,FALSE))),"")</f>
        <v/>
      </c>
      <c r="AB40" s="161" t="str">
        <f t="shared" si="29"/>
        <v/>
      </c>
      <c r="AE40" s="194">
        <f t="shared" si="14"/>
        <v>0</v>
      </c>
    </row>
    <row r="41" spans="2:31" x14ac:dyDescent="0.25">
      <c r="B41" s="112"/>
      <c r="C41" s="128"/>
      <c r="D41" s="165"/>
      <c r="E41" s="111"/>
      <c r="F41" s="111"/>
      <c r="G41" s="113"/>
      <c r="H41" s="113"/>
      <c r="I41" s="113"/>
      <c r="J41" s="136">
        <f t="shared" si="8"/>
        <v>0</v>
      </c>
      <c r="K41" s="142"/>
      <c r="L41" s="130">
        <f t="shared" si="1"/>
        <v>0</v>
      </c>
      <c r="M41" s="130">
        <f t="shared" si="2"/>
        <v>0</v>
      </c>
      <c r="N41" s="130">
        <f t="shared" si="15"/>
        <v>0</v>
      </c>
      <c r="O41" s="130">
        <f t="shared" si="3"/>
        <v>0</v>
      </c>
      <c r="P41" s="136">
        <f t="shared" si="4"/>
        <v>0</v>
      </c>
      <c r="Q41" s="348">
        <f t="shared" si="9"/>
        <v>0</v>
      </c>
      <c r="R41" s="349">
        <f t="shared" si="5"/>
        <v>0</v>
      </c>
      <c r="S41" s="141"/>
      <c r="T41" s="130">
        <f t="shared" si="10"/>
        <v>0</v>
      </c>
      <c r="U41" s="130">
        <f t="shared" si="6"/>
        <v>0</v>
      </c>
      <c r="V41" s="130">
        <f>IF(OR(F41=$B$63,F41=$B$65),IF(P41/I41/C41&gt;'Статистическая ЗП'!$N$5,IF(Калькуляция!$C$2='Статистическая ЗП'!$X$5,SUM('Расчет ФОТ'!P41:S41)*15.5%+'Расчет ФОТ'!C41*'Расчет ФОТ'!I41*'Статистическая ЗП'!$N$5*('Расчет ФОТ'!$V$5-15.5%),SUM(P41:S41)*$V$5),SUM('Расчет ФОТ'!P41:S41)*'Расчет ФОТ'!$V$5),0)</f>
        <v>0</v>
      </c>
      <c r="W41" s="130">
        <f>IF(F41=$B$64,IF(P41/I41/C41&gt;'Статистическая ЗП'!$N$5,IF(Калькуляция!$C$2='Статистическая ЗП'!$X$5,SUM('Расчет ФОТ'!P41:S41)*10.5%+'Расчет ФОТ'!C41*'Расчет ФОТ'!I41*'Статистическая ЗП'!$N$5*('Расчет ФОТ'!$W$5-10.5%),SUM(P41:S41)*$W$5),SUM('Расчет ФОТ'!P41:S41)*'Расчет ФОТ'!$W$5),0)</f>
        <v>0</v>
      </c>
      <c r="X41" s="135">
        <f t="shared" si="11"/>
        <v>0</v>
      </c>
      <c r="Y41" s="130">
        <f t="shared" si="12"/>
        <v>0</v>
      </c>
      <c r="Z41" s="143">
        <f t="shared" si="7"/>
        <v>0</v>
      </c>
      <c r="AA41" s="157" t="str">
        <f>IF(Z41&gt;0,IF(Калькуляция!$C$2='Статистическая ЗП'!$X$5,IF(OR(F41=$B$63,F41=$B$65),VLOOKUP(Калькуляция!$C$4,'Статистическая ЗП'!$M$5:$U$89,8,FALSE),VLOOKUP(Калькуляция!$C$4,'Статистическая ЗП'!$M$5:$U$89,9,FALSE)),IF(OR(F41=$B$63,F41=$B$65),VLOOKUP(Калькуляция!$C$4,'Статистическая ЗП'!$M$5:$U$89,6,FALSE),VLOOKUP(Калькуляция!$C$4,'Статистическая ЗП'!$M$5:$U$89,7,FALSE))),"")</f>
        <v/>
      </c>
      <c r="AB41" s="161" t="str">
        <f t="shared" si="13"/>
        <v/>
      </c>
      <c r="AE41" s="194">
        <f t="shared" si="14"/>
        <v>0</v>
      </c>
    </row>
    <row r="42" spans="2:31" x14ac:dyDescent="0.25">
      <c r="B42" s="112"/>
      <c r="C42" s="128"/>
      <c r="D42" s="165"/>
      <c r="E42" s="111"/>
      <c r="F42" s="111"/>
      <c r="G42" s="113"/>
      <c r="H42" s="113"/>
      <c r="I42" s="113"/>
      <c r="J42" s="136">
        <f t="shared" si="8"/>
        <v>0</v>
      </c>
      <c r="K42" s="142"/>
      <c r="L42" s="130">
        <f t="shared" si="1"/>
        <v>0</v>
      </c>
      <c r="M42" s="130">
        <f t="shared" si="2"/>
        <v>0</v>
      </c>
      <c r="N42" s="130">
        <f>C42*K42</f>
        <v>0</v>
      </c>
      <c r="O42" s="130">
        <f t="shared" si="3"/>
        <v>0</v>
      </c>
      <c r="P42" s="136">
        <f t="shared" si="4"/>
        <v>0</v>
      </c>
      <c r="Q42" s="348">
        <f t="shared" si="9"/>
        <v>0</v>
      </c>
      <c r="R42" s="349">
        <f t="shared" si="5"/>
        <v>0</v>
      </c>
      <c r="S42" s="141"/>
      <c r="T42" s="130">
        <f t="shared" si="10"/>
        <v>0</v>
      </c>
      <c r="U42" s="130">
        <f t="shared" si="6"/>
        <v>0</v>
      </c>
      <c r="V42" s="130">
        <f>IF(OR(F42=$B$63,F42=$B$65),IF(P42/I42/C42&gt;'Статистическая ЗП'!$N$5,IF(Калькуляция!$C$2='Статистическая ЗП'!$X$5,SUM('Расчет ФОТ'!P42:S42)*15.5%+'Расчет ФОТ'!C42*'Расчет ФОТ'!I42*'Статистическая ЗП'!$N$5*('Расчет ФОТ'!$V$5-15.5%),SUM(P42:S42)*$V$5),SUM('Расчет ФОТ'!P42:S42)*'Расчет ФОТ'!$V$5),0)</f>
        <v>0</v>
      </c>
      <c r="W42" s="130">
        <f>IF(F42=$B$64,IF(P42/I42/C42&gt;'Статистическая ЗП'!$N$5,IF(Калькуляция!$C$2='Статистическая ЗП'!$X$5,SUM('Расчет ФОТ'!P42:S42)*10.5%+'Расчет ФОТ'!C42*'Расчет ФОТ'!I42*'Статистическая ЗП'!$N$5*('Расчет ФОТ'!$W$5-10.5%),SUM(P42:S42)*$W$5),SUM('Расчет ФОТ'!P42:S42)*'Расчет ФОТ'!$W$5),0)</f>
        <v>0</v>
      </c>
      <c r="X42" s="135">
        <f t="shared" si="11"/>
        <v>0</v>
      </c>
      <c r="Y42" s="130">
        <f t="shared" si="12"/>
        <v>0</v>
      </c>
      <c r="Z42" s="143">
        <f t="shared" si="7"/>
        <v>0</v>
      </c>
      <c r="AA42" s="157" t="str">
        <f>IF(Z42&gt;0,IF(Калькуляция!$C$2='Статистическая ЗП'!$X$5,IF(OR(F42=$B$63,F42=$B$65),VLOOKUP(Калькуляция!$C$4,'Статистическая ЗП'!$M$5:$U$89,8,FALSE),VLOOKUP(Калькуляция!$C$4,'Статистическая ЗП'!$M$5:$U$89,9,FALSE)),IF(OR(F42=$B$63,F42=$B$65),VLOOKUP(Калькуляция!$C$4,'Статистическая ЗП'!$M$5:$U$89,6,FALSE),VLOOKUP(Калькуляция!$C$4,'Статистическая ЗП'!$M$5:$U$89,7,FALSE))),"")</f>
        <v/>
      </c>
      <c r="AB42" s="161" t="str">
        <f t="shared" si="13"/>
        <v/>
      </c>
      <c r="AE42" s="194">
        <f t="shared" si="14"/>
        <v>0</v>
      </c>
    </row>
    <row r="43" spans="2:31" ht="16.5" thickBot="1" x14ac:dyDescent="0.3">
      <c r="B43" s="177"/>
      <c r="C43" s="145"/>
      <c r="D43" s="166"/>
      <c r="E43" s="114"/>
      <c r="F43" s="114"/>
      <c r="G43" s="146"/>
      <c r="H43" s="146"/>
      <c r="I43" s="146"/>
      <c r="J43" s="149">
        <f t="shared" si="8"/>
        <v>0</v>
      </c>
      <c r="K43" s="147"/>
      <c r="L43" s="148">
        <f t="shared" si="1"/>
        <v>0</v>
      </c>
      <c r="M43" s="148">
        <f t="shared" si="2"/>
        <v>0</v>
      </c>
      <c r="N43" s="148">
        <f>C43*K43</f>
        <v>0</v>
      </c>
      <c r="O43" s="148">
        <f t="shared" si="3"/>
        <v>0</v>
      </c>
      <c r="P43" s="149">
        <f t="shared" si="4"/>
        <v>0</v>
      </c>
      <c r="Q43" s="350">
        <f t="shared" si="9"/>
        <v>0</v>
      </c>
      <c r="R43" s="351">
        <f t="shared" si="5"/>
        <v>0</v>
      </c>
      <c r="S43" s="150"/>
      <c r="T43" s="148">
        <f t="shared" si="10"/>
        <v>0</v>
      </c>
      <c r="U43" s="148">
        <f t="shared" si="6"/>
        <v>0</v>
      </c>
      <c r="V43" s="148">
        <f>IF(OR(F43=$B$63,F43=$B$65),IF(P43/I43/C43&gt;'Статистическая ЗП'!$N$5,IF(Калькуляция!$C$2='Статистическая ЗП'!$X$5,SUM('Расчет ФОТ'!P43:S43)*15.5%+'Расчет ФОТ'!C43*'Расчет ФОТ'!I43*'Статистическая ЗП'!$N$5*('Расчет ФОТ'!$V$5-15.5%),SUM(P43:S43)*$V$5),SUM('Расчет ФОТ'!P43:S43)*'Расчет ФОТ'!$V$5),0)</f>
        <v>0</v>
      </c>
      <c r="W43" s="149">
        <f>IF(F43=$B$64,IF(P43/I43/C43&gt;'Статистическая ЗП'!$N$5,IF(Калькуляция!$C$2='Статистическая ЗП'!$X$5,SUM('Расчет ФОТ'!P43:S43)*10.5%+'Расчет ФОТ'!C43*'Расчет ФОТ'!I43*'Статистическая ЗП'!$N$5*('Расчет ФОТ'!$W$5-10.5%),SUM(P43:S43)*$W$5),SUM('Расчет ФОТ'!P43:S43)*'Расчет ФОТ'!$W$5),0)</f>
        <v>0</v>
      </c>
      <c r="X43" s="151">
        <f t="shared" si="11"/>
        <v>0</v>
      </c>
      <c r="Y43" s="148">
        <f t="shared" si="12"/>
        <v>0</v>
      </c>
      <c r="Z43" s="152">
        <f t="shared" si="7"/>
        <v>0</v>
      </c>
      <c r="AA43" s="162" t="str">
        <f>IF(Z43&gt;0,IF(Калькуляция!$C$2='Статистическая ЗП'!$X$5,IF(OR(F43=$B$63,F43=$B$65),VLOOKUP(Калькуляция!$C$4,'Статистическая ЗП'!$M$5:$U$89,8,FALSE),VLOOKUP(Калькуляция!$C$4,'Статистическая ЗП'!$M$5:$U$89,9,FALSE)),IF(OR(F43=$B$63,F43=$B$65),VLOOKUP(Калькуляция!$C$4,'Статистическая ЗП'!$M$5:$U$89,6,FALSE),VLOOKUP(Калькуляция!$C$4,'Статистическая ЗП'!$M$5:$U$89,7,FALSE))),"")</f>
        <v/>
      </c>
      <c r="AB43" s="158" t="str">
        <f t="shared" si="13"/>
        <v/>
      </c>
      <c r="AE43" s="194">
        <f t="shared" si="14"/>
        <v>0</v>
      </c>
    </row>
    <row r="45" spans="2:31" x14ac:dyDescent="0.25">
      <c r="B45" s="131" t="s">
        <v>258</v>
      </c>
      <c r="J45" s="194"/>
    </row>
    <row r="46" spans="2:31" x14ac:dyDescent="0.25">
      <c r="B46" s="176" t="s">
        <v>260</v>
      </c>
      <c r="D46" s="192"/>
      <c r="J46" s="194"/>
    </row>
    <row r="47" spans="2:31" x14ac:dyDescent="0.25">
      <c r="B47" s="176" t="s">
        <v>272</v>
      </c>
      <c r="D47" s="192"/>
      <c r="J47" s="194"/>
    </row>
    <row r="48" spans="2:31" x14ac:dyDescent="0.25">
      <c r="B48" s="176" t="s">
        <v>261</v>
      </c>
      <c r="D48" s="192"/>
      <c r="J48" s="194"/>
    </row>
    <row r="49" spans="2:11" x14ac:dyDescent="0.25">
      <c r="B49" s="176" t="s">
        <v>262</v>
      </c>
      <c r="D49" s="192"/>
    </row>
    <row r="50" spans="2:11" x14ac:dyDescent="0.25">
      <c r="B50" s="176" t="s">
        <v>273</v>
      </c>
      <c r="D50" s="192"/>
      <c r="J50" s="194"/>
      <c r="K50" s="194"/>
    </row>
    <row r="51" spans="2:11" x14ac:dyDescent="0.25">
      <c r="B51" s="176" t="s">
        <v>263</v>
      </c>
      <c r="D51" s="192"/>
    </row>
    <row r="52" spans="2:11" x14ac:dyDescent="0.25">
      <c r="B52" s="176" t="s">
        <v>275</v>
      </c>
      <c r="D52" s="192"/>
      <c r="J52" s="194"/>
    </row>
    <row r="53" spans="2:11" x14ac:dyDescent="0.25">
      <c r="B53" s="176" t="s">
        <v>276</v>
      </c>
      <c r="D53" s="192"/>
    </row>
    <row r="54" spans="2:11" x14ac:dyDescent="0.25">
      <c r="B54" s="176" t="s">
        <v>277</v>
      </c>
      <c r="D54" s="192"/>
      <c r="J54" s="194"/>
    </row>
    <row r="55" spans="2:11" x14ac:dyDescent="0.25">
      <c r="B55" s="176" t="s">
        <v>278</v>
      </c>
      <c r="D55" s="192"/>
    </row>
    <row r="56" spans="2:11" x14ac:dyDescent="0.25">
      <c r="B56" s="176" t="s">
        <v>279</v>
      </c>
      <c r="D56" s="192"/>
    </row>
    <row r="57" spans="2:11" x14ac:dyDescent="0.25">
      <c r="B57" s="176" t="s">
        <v>280</v>
      </c>
      <c r="D57" s="192"/>
    </row>
    <row r="58" spans="2:11" x14ac:dyDescent="0.25">
      <c r="B58" s="176" t="s">
        <v>281</v>
      </c>
      <c r="D58" s="192"/>
    </row>
    <row r="59" spans="2:11" x14ac:dyDescent="0.25">
      <c r="B59" s="176" t="s">
        <v>282</v>
      </c>
      <c r="D59" s="192"/>
    </row>
    <row r="60" spans="2:11" x14ac:dyDescent="0.25">
      <c r="B60" s="176" t="s">
        <v>283</v>
      </c>
      <c r="D60" s="192"/>
    </row>
    <row r="63" spans="2:11" ht="15.6" hidden="1" customHeight="1" x14ac:dyDescent="0.25">
      <c r="B63" s="153" t="s">
        <v>190</v>
      </c>
    </row>
    <row r="64" spans="2:11" ht="15.6" hidden="1" customHeight="1" x14ac:dyDescent="0.25">
      <c r="B64" s="153" t="s">
        <v>290</v>
      </c>
    </row>
    <row r="65" spans="2:2" hidden="1" x14ac:dyDescent="0.25">
      <c r="B65" s="153" t="s">
        <v>291</v>
      </c>
    </row>
  </sheetData>
  <sheetProtection algorithmName="SHA-512" hashValue="aCGfEhwo6L6eSSLI2HWGKAPiRgzuPEgLsIO0QpeeKU6OM0ljlBe8+S0CPazH7LVq+E7UK+ZP2dZtcfkxC1EJwg==" saltValue="CEE4xtdjYsfwnOfTW6pHhg==" spinCount="100000" sheet="1" formatCells="0" formatColumns="0" formatRows="0" insertColumns="0" insertRows="0" insertHyperlinks="0" deleteColumns="0" deleteRows="0" sort="0" autoFilter="0" pivotTables="0"/>
  <mergeCells count="30">
    <mergeCell ref="AA2:AA5"/>
    <mergeCell ref="AB2:AB5"/>
    <mergeCell ref="Q2:W3"/>
    <mergeCell ref="X2:X3"/>
    <mergeCell ref="Z2:Z3"/>
    <mergeCell ref="L4:L5"/>
    <mergeCell ref="M4:M5"/>
    <mergeCell ref="K3:M3"/>
    <mergeCell ref="N3:P3"/>
    <mergeCell ref="Y2:Y3"/>
    <mergeCell ref="X4:Z5"/>
    <mergeCell ref="K4:K5"/>
    <mergeCell ref="K2:P2"/>
    <mergeCell ref="O4:O5"/>
    <mergeCell ref="Q4:Q5"/>
    <mergeCell ref="R4:R5"/>
    <mergeCell ref="U4:U5"/>
    <mergeCell ref="P4:P5"/>
    <mergeCell ref="S4:S5"/>
    <mergeCell ref="N4:N5"/>
    <mergeCell ref="J4:J5"/>
    <mergeCell ref="G4:G5"/>
    <mergeCell ref="H4:H5"/>
    <mergeCell ref="F4:F5"/>
    <mergeCell ref="B2:B5"/>
    <mergeCell ref="I4:I5"/>
    <mergeCell ref="C2:J3"/>
    <mergeCell ref="C4:C5"/>
    <mergeCell ref="E4:E5"/>
    <mergeCell ref="D4:D5"/>
  </mergeCells>
  <phoneticPr fontId="14" type="noConversion"/>
  <conditionalFormatting sqref="AB9:AB43">
    <cfRule type="cellIs" dxfId="72" priority="87" operator="equal">
      <formula>""</formula>
    </cfRule>
    <cfRule type="cellIs" dxfId="71" priority="95" operator="lessThan">
      <formula>0</formula>
    </cfRule>
  </conditionalFormatting>
  <conditionalFormatting sqref="AB6:AB43">
    <cfRule type="cellIs" dxfId="70" priority="90" operator="greaterThan">
      <formula>0</formula>
    </cfRule>
  </conditionalFormatting>
  <conditionalFormatting sqref="J9">
    <cfRule type="cellIs" dxfId="69" priority="56" operator="greaterThan">
      <formula>$AE$9</formula>
    </cfRule>
    <cfRule type="cellIs" dxfId="68" priority="76" operator="lessThan">
      <formula>$AE$9</formula>
    </cfRule>
  </conditionalFormatting>
  <conditionalFormatting sqref="J10">
    <cfRule type="cellIs" dxfId="67" priority="55" operator="greaterThan">
      <formula>$AE$10</formula>
    </cfRule>
    <cfRule type="cellIs" dxfId="66" priority="75" operator="lessThan">
      <formula>$AE$10</formula>
    </cfRule>
  </conditionalFormatting>
  <conditionalFormatting sqref="J11">
    <cfRule type="cellIs" dxfId="65" priority="54" operator="greaterThan">
      <formula>$AE$11</formula>
    </cfRule>
    <cfRule type="cellIs" dxfId="64" priority="74" operator="lessThan">
      <formula>$AE$11</formula>
    </cfRule>
  </conditionalFormatting>
  <conditionalFormatting sqref="J12">
    <cfRule type="cellIs" dxfId="63" priority="53" operator="greaterThan">
      <formula>$AE$12</formula>
    </cfRule>
    <cfRule type="cellIs" dxfId="62" priority="73" operator="lessThan">
      <formula>$AE$12</formula>
    </cfRule>
  </conditionalFormatting>
  <conditionalFormatting sqref="J13">
    <cfRule type="cellIs" dxfId="61" priority="52" operator="greaterThan">
      <formula>$AE$13</formula>
    </cfRule>
    <cfRule type="cellIs" dxfId="60" priority="72" operator="lessThan">
      <formula>$AE$13</formula>
    </cfRule>
  </conditionalFormatting>
  <conditionalFormatting sqref="J14">
    <cfRule type="cellIs" dxfId="59" priority="51" operator="greaterThan">
      <formula>$AE$14</formula>
    </cfRule>
    <cfRule type="cellIs" dxfId="58" priority="71" operator="lessThan">
      <formula>$AE$14</formula>
    </cfRule>
  </conditionalFormatting>
  <conditionalFormatting sqref="J15">
    <cfRule type="cellIs" dxfId="57" priority="50" operator="greaterThan">
      <formula>$AE$15</formula>
    </cfRule>
    <cfRule type="cellIs" dxfId="56" priority="70" operator="lessThan">
      <formula>$AE$15</formula>
    </cfRule>
  </conditionalFormatting>
  <conditionalFormatting sqref="J16">
    <cfRule type="cellIs" dxfId="55" priority="49" operator="greaterThan">
      <formula>$AE$16</formula>
    </cfRule>
    <cfRule type="cellIs" dxfId="54" priority="69" operator="lessThan">
      <formula>$AE$16</formula>
    </cfRule>
  </conditionalFormatting>
  <conditionalFormatting sqref="J17">
    <cfRule type="cellIs" dxfId="53" priority="48" operator="greaterThan">
      <formula>$AE$17</formula>
    </cfRule>
    <cfRule type="cellIs" dxfId="52" priority="68" operator="lessThan">
      <formula>$AE$17</formula>
    </cfRule>
  </conditionalFormatting>
  <conditionalFormatting sqref="J18">
    <cfRule type="cellIs" dxfId="51" priority="47" operator="greaterThan">
      <formula>$AE$18</formula>
    </cfRule>
    <cfRule type="cellIs" dxfId="50" priority="67" operator="lessThan">
      <formula>$AE$18</formula>
    </cfRule>
  </conditionalFormatting>
  <conditionalFormatting sqref="J19">
    <cfRule type="cellIs" dxfId="49" priority="46" operator="greaterThan">
      <formula>$AE$19</formula>
    </cfRule>
    <cfRule type="cellIs" dxfId="48" priority="66" operator="lessThan">
      <formula>$AE$19</formula>
    </cfRule>
  </conditionalFormatting>
  <conditionalFormatting sqref="J20">
    <cfRule type="cellIs" dxfId="47" priority="45" operator="greaterThan">
      <formula>$AE$20</formula>
    </cfRule>
    <cfRule type="cellIs" dxfId="46" priority="65" operator="lessThan">
      <formula>$AE$20</formula>
    </cfRule>
  </conditionalFormatting>
  <conditionalFormatting sqref="J21">
    <cfRule type="cellIs" dxfId="45" priority="44" operator="greaterThan">
      <formula>$AE$21</formula>
    </cfRule>
    <cfRule type="cellIs" dxfId="44" priority="64" operator="lessThan">
      <formula>$AE$21</formula>
    </cfRule>
  </conditionalFormatting>
  <conditionalFormatting sqref="J22">
    <cfRule type="cellIs" dxfId="43" priority="43" operator="greaterThan">
      <formula>$AE$22</formula>
    </cfRule>
    <cfRule type="cellIs" dxfId="42" priority="63" operator="lessThan">
      <formula>$AE$22</formula>
    </cfRule>
  </conditionalFormatting>
  <conditionalFormatting sqref="J23">
    <cfRule type="cellIs" dxfId="41" priority="42" operator="greaterThan">
      <formula>$AE$23</formula>
    </cfRule>
    <cfRule type="cellIs" dxfId="40" priority="62" operator="lessThan">
      <formula>$AE$23</formula>
    </cfRule>
  </conditionalFormatting>
  <conditionalFormatting sqref="J24">
    <cfRule type="cellIs" dxfId="39" priority="41" operator="greaterThan">
      <formula>$AE$24</formula>
    </cfRule>
    <cfRule type="cellIs" dxfId="38" priority="61" operator="lessThan">
      <formula>$AE$24</formula>
    </cfRule>
  </conditionalFormatting>
  <conditionalFormatting sqref="J42">
    <cfRule type="cellIs" dxfId="37" priority="38" operator="greaterThan">
      <formula>$AE$42</formula>
    </cfRule>
    <cfRule type="cellIs" dxfId="36" priority="58" operator="lessThan">
      <formula>$AE$42</formula>
    </cfRule>
  </conditionalFormatting>
  <conditionalFormatting sqref="J43">
    <cfRule type="cellIs" dxfId="35" priority="37" operator="greaterThan">
      <formula>$AE$43</formula>
    </cfRule>
    <cfRule type="cellIs" dxfId="34" priority="57" operator="lessThan">
      <formula>$AE$43</formula>
    </cfRule>
  </conditionalFormatting>
  <conditionalFormatting sqref="J25">
    <cfRule type="cellIs" dxfId="33" priority="40" operator="greaterThan">
      <formula>$AE$25</formula>
    </cfRule>
    <cfRule type="cellIs" dxfId="32" priority="60" operator="lessThan">
      <formula>$AE$25</formula>
    </cfRule>
  </conditionalFormatting>
  <conditionalFormatting sqref="J26">
    <cfRule type="cellIs" dxfId="31" priority="35" operator="greaterThan">
      <formula>$AE$26</formula>
    </cfRule>
    <cfRule type="cellIs" dxfId="30" priority="36" operator="lessThan">
      <formula>$AE$26</formula>
    </cfRule>
  </conditionalFormatting>
  <conditionalFormatting sqref="J27">
    <cfRule type="cellIs" dxfId="29" priority="29" operator="greaterThan">
      <formula>$AE$27</formula>
    </cfRule>
    <cfRule type="cellIs" dxfId="28" priority="30" operator="lessThan">
      <formula>$AE$27</formula>
    </cfRule>
  </conditionalFormatting>
  <conditionalFormatting sqref="J28">
    <cfRule type="cellIs" dxfId="27" priority="27" operator="greaterThan">
      <formula>$AE$28</formula>
    </cfRule>
    <cfRule type="cellIs" dxfId="26" priority="28" operator="lessThan">
      <formula>$AE$28</formula>
    </cfRule>
  </conditionalFormatting>
  <conditionalFormatting sqref="J29">
    <cfRule type="cellIs" dxfId="25" priority="25" operator="greaterThan">
      <formula>$AE$29</formula>
    </cfRule>
    <cfRule type="cellIs" dxfId="24" priority="26" operator="lessThan">
      <formula>$AE$29</formula>
    </cfRule>
  </conditionalFormatting>
  <conditionalFormatting sqref="J30">
    <cfRule type="cellIs" dxfId="23" priority="23" operator="greaterThan">
      <formula>$AE$30</formula>
    </cfRule>
    <cfRule type="cellIs" dxfId="22" priority="24" operator="lessThan">
      <formula>$AE$30</formula>
    </cfRule>
  </conditionalFormatting>
  <conditionalFormatting sqref="J31">
    <cfRule type="cellIs" dxfId="21" priority="21" operator="greaterThan">
      <formula>$AE$31</formula>
    </cfRule>
    <cfRule type="cellIs" dxfId="20" priority="22" operator="lessThan">
      <formula>$AE$31</formula>
    </cfRule>
  </conditionalFormatting>
  <conditionalFormatting sqref="J32">
    <cfRule type="cellIs" dxfId="19" priority="19" operator="greaterThan">
      <formula>$AE$32</formula>
    </cfRule>
    <cfRule type="cellIs" dxfId="18" priority="20" operator="lessThan">
      <formula>$AE$32</formula>
    </cfRule>
  </conditionalFormatting>
  <conditionalFormatting sqref="J33">
    <cfRule type="cellIs" dxfId="17" priority="17" operator="greaterThan">
      <formula>$AE$33</formula>
    </cfRule>
    <cfRule type="cellIs" dxfId="16" priority="18" operator="lessThan">
      <formula>$AE$33</formula>
    </cfRule>
  </conditionalFormatting>
  <conditionalFormatting sqref="J34">
    <cfRule type="cellIs" dxfId="15" priority="15" operator="greaterThan">
      <formula>$AE$34</formula>
    </cfRule>
    <cfRule type="cellIs" dxfId="14" priority="16" operator="lessThan">
      <formula>$AE$34</formula>
    </cfRule>
  </conditionalFormatting>
  <conditionalFormatting sqref="J35">
    <cfRule type="cellIs" dxfId="13" priority="13" operator="greaterThan">
      <formula>$AE$35</formula>
    </cfRule>
    <cfRule type="cellIs" dxfId="12" priority="14" operator="lessThan">
      <formula>$AE$35</formula>
    </cfRule>
  </conditionalFormatting>
  <conditionalFormatting sqref="J36">
    <cfRule type="cellIs" dxfId="11" priority="11" operator="greaterThan">
      <formula>$AE$36</formula>
    </cfRule>
    <cfRule type="cellIs" dxfId="10" priority="12" operator="lessThan">
      <formula>$AE$36</formula>
    </cfRule>
  </conditionalFormatting>
  <conditionalFormatting sqref="J37">
    <cfRule type="cellIs" dxfId="9" priority="9" operator="greaterThan">
      <formula>$AE$37</formula>
    </cfRule>
    <cfRule type="cellIs" dxfId="8" priority="10" operator="lessThan">
      <formula>$AE$37</formula>
    </cfRule>
  </conditionalFormatting>
  <conditionalFormatting sqref="J38">
    <cfRule type="cellIs" dxfId="7" priority="7" operator="greaterThan">
      <formula>$AE$38</formula>
    </cfRule>
    <cfRule type="cellIs" dxfId="6" priority="8" operator="lessThan">
      <formula>$AE$38</formula>
    </cfRule>
  </conditionalFormatting>
  <conditionalFormatting sqref="J39">
    <cfRule type="cellIs" dxfId="5" priority="5" operator="greaterThan">
      <formula>$AE$39</formula>
    </cfRule>
    <cfRule type="cellIs" dxfId="4" priority="6" operator="lessThan">
      <formula>$AE$39</formula>
    </cfRule>
  </conditionalFormatting>
  <conditionalFormatting sqref="J40">
    <cfRule type="cellIs" dxfId="3" priority="3" operator="greaterThan">
      <formula>$AE$40</formula>
    </cfRule>
    <cfRule type="cellIs" dxfId="2" priority="4" operator="lessThan">
      <formula>$AE$40</formula>
    </cfRule>
  </conditionalFormatting>
  <conditionalFormatting sqref="J41">
    <cfRule type="cellIs" dxfId="1" priority="1" operator="greaterThan">
      <formula>$AE$41</formula>
    </cfRule>
    <cfRule type="cellIs" dxfId="0" priority="2" operator="lessThan">
      <formula>$AE$41</formula>
    </cfRule>
  </conditionalFormatting>
  <dataValidations count="3">
    <dataValidation type="list" allowBlank="1" showInputMessage="1" showErrorMessage="1" sqref="F7:F8" xr:uid="{00000000-0002-0000-0400-000000000000}">
      <formula1>$B$63:$B$64</formula1>
    </dataValidation>
    <dataValidation type="list" allowBlank="1" showInputMessage="1" showErrorMessage="1" errorTitle="Недопустимое значение!" error="Выберите значение из списка" sqref="F9:F43" xr:uid="{00000000-0002-0000-0400-000001000000}">
      <formula1>$B$63:$B$65</formula1>
    </dataValidation>
    <dataValidation type="list" showInputMessage="1" showErrorMessage="1" sqref="D9:D43" xr:uid="{00000000-0002-0000-0400-000002000000}">
      <formula1>$B$46:$B$60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2"/>
  <sheetViews>
    <sheetView topLeftCell="A3" workbookViewId="0">
      <selection activeCell="C6" sqref="C6"/>
    </sheetView>
  </sheetViews>
  <sheetFormatPr defaultColWidth="8.85546875" defaultRowHeight="15.75" x14ac:dyDescent="0.25"/>
  <cols>
    <col min="1" max="1" width="32.7109375" style="1" customWidth="1"/>
    <col min="2" max="2" width="49.28515625" style="1" customWidth="1"/>
    <col min="3" max="5" width="17.42578125" style="1" customWidth="1"/>
    <col min="6" max="6" width="19" style="1" customWidth="1"/>
    <col min="7" max="9" width="17.42578125" style="1" customWidth="1"/>
    <col min="10" max="16384" width="8.85546875" style="1"/>
  </cols>
  <sheetData>
    <row r="1" spans="1:9" ht="32.25" customHeight="1" x14ac:dyDescent="0.25">
      <c r="A1" s="421" t="s">
        <v>257</v>
      </c>
      <c r="B1" s="423" t="s">
        <v>259</v>
      </c>
      <c r="C1" s="425" t="s">
        <v>274</v>
      </c>
      <c r="D1" s="425"/>
      <c r="E1" s="423" t="s">
        <v>256</v>
      </c>
      <c r="F1" s="419" t="s">
        <v>285</v>
      </c>
      <c r="G1" s="419"/>
      <c r="H1" s="419" t="s">
        <v>287</v>
      </c>
      <c r="I1" s="420"/>
    </row>
    <row r="2" spans="1:9" x14ac:dyDescent="0.25">
      <c r="A2" s="422"/>
      <c r="B2" s="424"/>
      <c r="C2" s="191" t="s">
        <v>264</v>
      </c>
      <c r="D2" s="191" t="s">
        <v>265</v>
      </c>
      <c r="E2" s="424"/>
      <c r="F2" s="195" t="s">
        <v>264</v>
      </c>
      <c r="G2" s="195" t="s">
        <v>265</v>
      </c>
      <c r="H2" s="195" t="s">
        <v>264</v>
      </c>
      <c r="I2" s="132" t="s">
        <v>265</v>
      </c>
    </row>
    <row r="3" spans="1:9" x14ac:dyDescent="0.25">
      <c r="A3" s="182">
        <f>'Расчет ФОТ'!B9</f>
        <v>0</v>
      </c>
      <c r="B3" s="178">
        <f>'Расчет ФОТ'!D9</f>
        <v>0</v>
      </c>
      <c r="C3" s="179">
        <f>IF('Расчет ФОТ'!Z9&gt;0,'Расчет ФОТ'!Z9+IF('Расчет ФОТ'!D9='Расчет ФОТ'!$D$7,$G$60,SUMIF($B$45:$B$60,'Расчет ФОТ'!D9,$G$45:$G$60)),0)</f>
        <v>0</v>
      </c>
      <c r="D3" s="179">
        <f>C3*(1+Калькуляция!$C$71)</f>
        <v>0</v>
      </c>
      <c r="E3" s="179">
        <f>IF('Расчет ФОТ'!J9&gt;0,'Расчет ФОТ'!J9,0)</f>
        <v>0</v>
      </c>
      <c r="F3" s="179">
        <f t="shared" ref="F3:F37" si="0">IF(E3&gt;0,E3*C3,0)</f>
        <v>0</v>
      </c>
      <c r="G3" s="179">
        <f t="shared" ref="G3:G37" si="1">IF(E3&gt;0,E3*D3,0)</f>
        <v>0</v>
      </c>
      <c r="H3" s="179">
        <f>F3/Калькуляция!$F$9</f>
        <v>0</v>
      </c>
      <c r="I3" s="183">
        <f>G3/Калькуляция!$F$9</f>
        <v>0</v>
      </c>
    </row>
    <row r="4" spans="1:9" x14ac:dyDescent="0.25">
      <c r="A4" s="182">
        <f>'Расчет ФОТ'!B10</f>
        <v>0</v>
      </c>
      <c r="B4" s="178">
        <f>'Расчет ФОТ'!D10</f>
        <v>0</v>
      </c>
      <c r="C4" s="179">
        <f>IF('Расчет ФОТ'!Z10&gt;0,'Расчет ФОТ'!Z10+IF('Расчет ФОТ'!D10='Расчет ФОТ'!$D$7,$G$60,SUMIF($B$45:$B$60,'Расчет ФОТ'!D10,$G$45:$G$60)),0)</f>
        <v>0</v>
      </c>
      <c r="D4" s="179">
        <f>C4*(1+Калькуляция!$C$71)</f>
        <v>0</v>
      </c>
      <c r="E4" s="179">
        <f>IF('Расчет ФОТ'!J10&gt;0,'Расчет ФОТ'!J10,0)</f>
        <v>0</v>
      </c>
      <c r="F4" s="179">
        <f t="shared" si="0"/>
        <v>0</v>
      </c>
      <c r="G4" s="179">
        <f t="shared" si="1"/>
        <v>0</v>
      </c>
      <c r="H4" s="179">
        <f>F4/Калькуляция!$F$9</f>
        <v>0</v>
      </c>
      <c r="I4" s="183">
        <f>G4/Калькуляция!$F$9</f>
        <v>0</v>
      </c>
    </row>
    <row r="5" spans="1:9" x14ac:dyDescent="0.25">
      <c r="A5" s="182">
        <f>'Расчет ФОТ'!B11</f>
        <v>0</v>
      </c>
      <c r="B5" s="178">
        <f>'Расчет ФОТ'!D11</f>
        <v>0</v>
      </c>
      <c r="C5" s="179">
        <f>IF('Расчет ФОТ'!Z11&gt;0,'Расчет ФОТ'!Z11+IF('Расчет ФОТ'!D11='Расчет ФОТ'!$D$7,$G$60,SUMIF($B$45:$B$60,'Расчет ФОТ'!D11,$G$45:$G$60)),0)</f>
        <v>0</v>
      </c>
      <c r="D5" s="179">
        <f>C5*(1+Калькуляция!$C$71)</f>
        <v>0</v>
      </c>
      <c r="E5" s="179">
        <f>IF('Расчет ФОТ'!J11&gt;0,'Расчет ФОТ'!J11,0)</f>
        <v>0</v>
      </c>
      <c r="F5" s="179">
        <f t="shared" si="0"/>
        <v>0</v>
      </c>
      <c r="G5" s="179">
        <f t="shared" si="1"/>
        <v>0</v>
      </c>
      <c r="H5" s="179">
        <f>F5/Калькуляция!$F$9</f>
        <v>0</v>
      </c>
      <c r="I5" s="183">
        <f>G5/Калькуляция!$F$9</f>
        <v>0</v>
      </c>
    </row>
    <row r="6" spans="1:9" x14ac:dyDescent="0.25">
      <c r="A6" s="182">
        <f>'Расчет ФОТ'!B12</f>
        <v>0</v>
      </c>
      <c r="B6" s="178">
        <f>'Расчет ФОТ'!D12</f>
        <v>0</v>
      </c>
      <c r="C6" s="179">
        <f>IF('Расчет ФОТ'!Z12&gt;0,'Расчет ФОТ'!Z12+IF('Расчет ФОТ'!D12='Расчет ФОТ'!$D$7,$G$60,SUMIF($B$45:$B$60,'Расчет ФОТ'!D12,$G$45:$G$60)),0)</f>
        <v>0</v>
      </c>
      <c r="D6" s="179">
        <f>C6*(1+Калькуляция!$C$71)</f>
        <v>0</v>
      </c>
      <c r="E6" s="179">
        <f>IF('Расчет ФОТ'!J12&gt;0,'Расчет ФОТ'!J12,0)</f>
        <v>0</v>
      </c>
      <c r="F6" s="179">
        <f t="shared" si="0"/>
        <v>0</v>
      </c>
      <c r="G6" s="179">
        <f t="shared" si="1"/>
        <v>0</v>
      </c>
      <c r="H6" s="179">
        <f>F6/Калькуляция!$F$9</f>
        <v>0</v>
      </c>
      <c r="I6" s="183">
        <f>G6/Калькуляция!$F$9</f>
        <v>0</v>
      </c>
    </row>
    <row r="7" spans="1:9" x14ac:dyDescent="0.25">
      <c r="A7" s="182">
        <f>'Расчет ФОТ'!B13</f>
        <v>0</v>
      </c>
      <c r="B7" s="178">
        <f>'Расчет ФОТ'!D13</f>
        <v>0</v>
      </c>
      <c r="C7" s="179">
        <f>IF('Расчет ФОТ'!Z13&gt;0,'Расчет ФОТ'!Z13+IF('Расчет ФОТ'!D13='Расчет ФОТ'!$D$7,$G$60,SUMIF($B$45:$B$60,'Расчет ФОТ'!D13,$G$45:$G$60)),0)</f>
        <v>0</v>
      </c>
      <c r="D7" s="179">
        <f>C7*(1+Калькуляция!$C$71)</f>
        <v>0</v>
      </c>
      <c r="E7" s="179">
        <f>IF('Расчет ФОТ'!J13&gt;0,'Расчет ФОТ'!J13,0)</f>
        <v>0</v>
      </c>
      <c r="F7" s="179">
        <f t="shared" si="0"/>
        <v>0</v>
      </c>
      <c r="G7" s="179">
        <f t="shared" si="1"/>
        <v>0</v>
      </c>
      <c r="H7" s="179">
        <f>F7/Калькуляция!$F$9</f>
        <v>0</v>
      </c>
      <c r="I7" s="183">
        <f>G7/Калькуляция!$F$9</f>
        <v>0</v>
      </c>
    </row>
    <row r="8" spans="1:9" x14ac:dyDescent="0.25">
      <c r="A8" s="182">
        <f>'Расчет ФОТ'!B14</f>
        <v>0</v>
      </c>
      <c r="B8" s="178">
        <f>'Расчет ФОТ'!D14</f>
        <v>0</v>
      </c>
      <c r="C8" s="179">
        <f>IF('Расчет ФОТ'!Z14&gt;0,'Расчет ФОТ'!Z14+IF('Расчет ФОТ'!D14='Расчет ФОТ'!$D$7,$G$60,SUMIF($B$45:$B$60,'Расчет ФОТ'!D14,$G$45:$G$60)),0)</f>
        <v>0</v>
      </c>
      <c r="D8" s="179">
        <f>C8*(1+Калькуляция!$C$71)</f>
        <v>0</v>
      </c>
      <c r="E8" s="179">
        <f>IF('Расчет ФОТ'!J14&gt;0,'Расчет ФОТ'!J14,0)</f>
        <v>0</v>
      </c>
      <c r="F8" s="179">
        <f t="shared" si="0"/>
        <v>0</v>
      </c>
      <c r="G8" s="179">
        <f t="shared" si="1"/>
        <v>0</v>
      </c>
      <c r="H8" s="179">
        <f>F8/Калькуляция!$F$9</f>
        <v>0</v>
      </c>
      <c r="I8" s="183">
        <f>G8/Калькуляция!$F$9</f>
        <v>0</v>
      </c>
    </row>
    <row r="9" spans="1:9" x14ac:dyDescent="0.25">
      <c r="A9" s="182">
        <f>'Расчет ФОТ'!B15</f>
        <v>0</v>
      </c>
      <c r="B9" s="178">
        <f>'Расчет ФОТ'!D15</f>
        <v>0</v>
      </c>
      <c r="C9" s="179">
        <f>IF('Расчет ФОТ'!Z15&gt;0,'Расчет ФОТ'!Z15+IF('Расчет ФОТ'!D15='Расчет ФОТ'!$D$7,$G$60,SUMIF($B$45:$B$60,'Расчет ФОТ'!D15,$G$45:$G$60)),0)</f>
        <v>0</v>
      </c>
      <c r="D9" s="179">
        <f>C9*(1+Калькуляция!$C$71)</f>
        <v>0</v>
      </c>
      <c r="E9" s="179">
        <f>IF('Расчет ФОТ'!J15&gt;0,'Расчет ФОТ'!J15,0)</f>
        <v>0</v>
      </c>
      <c r="F9" s="179">
        <f t="shared" si="0"/>
        <v>0</v>
      </c>
      <c r="G9" s="179">
        <f t="shared" si="1"/>
        <v>0</v>
      </c>
      <c r="H9" s="179">
        <f>F9/Калькуляция!$F$9</f>
        <v>0</v>
      </c>
      <c r="I9" s="183">
        <f>G9/Калькуляция!$F$9</f>
        <v>0</v>
      </c>
    </row>
    <row r="10" spans="1:9" x14ac:dyDescent="0.25">
      <c r="A10" s="182">
        <f>'Расчет ФОТ'!B16</f>
        <v>0</v>
      </c>
      <c r="B10" s="178">
        <f>'Расчет ФОТ'!D16</f>
        <v>0</v>
      </c>
      <c r="C10" s="179">
        <f>IF('Расчет ФОТ'!Z16&gt;0,'Расчет ФОТ'!Z16+IF('Расчет ФОТ'!D16='Расчет ФОТ'!$D$7,$G$60,SUMIF($B$45:$B$60,'Расчет ФОТ'!D16,$G$45:$G$60)),0)</f>
        <v>0</v>
      </c>
      <c r="D10" s="179">
        <f>C10*(1+Калькуляция!$C$71)</f>
        <v>0</v>
      </c>
      <c r="E10" s="179">
        <f>IF('Расчет ФОТ'!J16&gt;0,'Расчет ФОТ'!J16,0)</f>
        <v>0</v>
      </c>
      <c r="F10" s="179">
        <f t="shared" si="0"/>
        <v>0</v>
      </c>
      <c r="G10" s="179">
        <f t="shared" si="1"/>
        <v>0</v>
      </c>
      <c r="H10" s="179">
        <f>F10/Калькуляция!$F$9</f>
        <v>0</v>
      </c>
      <c r="I10" s="183">
        <f>G10/Калькуляция!$F$9</f>
        <v>0</v>
      </c>
    </row>
    <row r="11" spans="1:9" x14ac:dyDescent="0.25">
      <c r="A11" s="182">
        <f>'Расчет ФОТ'!B17</f>
        <v>0</v>
      </c>
      <c r="B11" s="178">
        <f>'Расчет ФОТ'!D17</f>
        <v>0</v>
      </c>
      <c r="C11" s="179">
        <f>IF('Расчет ФОТ'!Z17&gt;0,'Расчет ФОТ'!Z17+IF('Расчет ФОТ'!D17='Расчет ФОТ'!$D$7,$G$60,SUMIF($B$45:$B$60,'Расчет ФОТ'!D17,$G$45:$G$60)),0)</f>
        <v>0</v>
      </c>
      <c r="D11" s="179">
        <f>C11*(1+Калькуляция!$C$71)</f>
        <v>0</v>
      </c>
      <c r="E11" s="179">
        <f>IF('Расчет ФОТ'!J17&gt;0,'Расчет ФОТ'!J17,0)</f>
        <v>0</v>
      </c>
      <c r="F11" s="179">
        <f t="shared" si="0"/>
        <v>0</v>
      </c>
      <c r="G11" s="179">
        <f t="shared" si="1"/>
        <v>0</v>
      </c>
      <c r="H11" s="179">
        <f>F11/Калькуляция!$F$9</f>
        <v>0</v>
      </c>
      <c r="I11" s="183">
        <f>G11/Калькуляция!$F$9</f>
        <v>0</v>
      </c>
    </row>
    <row r="12" spans="1:9" x14ac:dyDescent="0.25">
      <c r="A12" s="182">
        <f>'Расчет ФОТ'!B18</f>
        <v>0</v>
      </c>
      <c r="B12" s="178">
        <f>'Расчет ФОТ'!D18</f>
        <v>0</v>
      </c>
      <c r="C12" s="179">
        <f>IF('Расчет ФОТ'!Z18&gt;0,'Расчет ФОТ'!Z18+IF('Расчет ФОТ'!D18='Расчет ФОТ'!$D$7,$G$60,SUMIF($B$45:$B$60,'Расчет ФОТ'!D18,$G$45:$G$60)),0)</f>
        <v>0</v>
      </c>
      <c r="D12" s="179">
        <f>C12*(1+Калькуляция!$C$71)</f>
        <v>0</v>
      </c>
      <c r="E12" s="179">
        <f>IF('Расчет ФОТ'!J18&gt;0,'Расчет ФОТ'!J18,0)</f>
        <v>0</v>
      </c>
      <c r="F12" s="179">
        <f t="shared" si="0"/>
        <v>0</v>
      </c>
      <c r="G12" s="179">
        <f t="shared" si="1"/>
        <v>0</v>
      </c>
      <c r="H12" s="179">
        <f>F12/Калькуляция!$F$9</f>
        <v>0</v>
      </c>
      <c r="I12" s="183">
        <f>G12/Калькуляция!$F$9</f>
        <v>0</v>
      </c>
    </row>
    <row r="13" spans="1:9" x14ac:dyDescent="0.25">
      <c r="A13" s="182">
        <f>'Расчет ФОТ'!B19</f>
        <v>0</v>
      </c>
      <c r="B13" s="178">
        <f>'Расчет ФОТ'!D19</f>
        <v>0</v>
      </c>
      <c r="C13" s="179">
        <f>IF('Расчет ФОТ'!Z19&gt;0,'Расчет ФОТ'!Z19+IF('Расчет ФОТ'!D19='Расчет ФОТ'!$D$7,$G$60,SUMIF($B$45:$B$60,'Расчет ФОТ'!D19,$G$45:$G$60)),0)</f>
        <v>0</v>
      </c>
      <c r="D13" s="179">
        <f>C13*(1+Калькуляция!$C$71)</f>
        <v>0</v>
      </c>
      <c r="E13" s="179">
        <f>IF('Расчет ФОТ'!J19&gt;0,'Расчет ФОТ'!J19,0)</f>
        <v>0</v>
      </c>
      <c r="F13" s="179">
        <f t="shared" si="0"/>
        <v>0</v>
      </c>
      <c r="G13" s="179">
        <f t="shared" si="1"/>
        <v>0</v>
      </c>
      <c r="H13" s="179">
        <f>F13/Калькуляция!$F$9</f>
        <v>0</v>
      </c>
      <c r="I13" s="183">
        <f>G13/Калькуляция!$F$9</f>
        <v>0</v>
      </c>
    </row>
    <row r="14" spans="1:9" x14ac:dyDescent="0.25">
      <c r="A14" s="182">
        <f>'Расчет ФОТ'!B20</f>
        <v>0</v>
      </c>
      <c r="B14" s="178">
        <f>'Расчет ФОТ'!D20</f>
        <v>0</v>
      </c>
      <c r="C14" s="179">
        <f>IF('Расчет ФОТ'!Z20&gt;0,'Расчет ФОТ'!Z20+IF('Расчет ФОТ'!D20='Расчет ФОТ'!$D$7,$G$60,SUMIF($B$45:$B$60,'Расчет ФОТ'!D20,$G$45:$G$60)),0)</f>
        <v>0</v>
      </c>
      <c r="D14" s="179">
        <f>C14*(1+Калькуляция!$C$71)</f>
        <v>0</v>
      </c>
      <c r="E14" s="179">
        <f>IF('Расчет ФОТ'!J20&gt;0,'Расчет ФОТ'!J20,0)</f>
        <v>0</v>
      </c>
      <c r="F14" s="179">
        <f t="shared" si="0"/>
        <v>0</v>
      </c>
      <c r="G14" s="179">
        <f t="shared" si="1"/>
        <v>0</v>
      </c>
      <c r="H14" s="179">
        <f>F14/Калькуляция!$F$9</f>
        <v>0</v>
      </c>
      <c r="I14" s="183">
        <f>G14/Калькуляция!$F$9</f>
        <v>0</v>
      </c>
    </row>
    <row r="15" spans="1:9" x14ac:dyDescent="0.25">
      <c r="A15" s="182">
        <f>'Расчет ФОТ'!B21</f>
        <v>0</v>
      </c>
      <c r="B15" s="178">
        <f>'Расчет ФОТ'!D21</f>
        <v>0</v>
      </c>
      <c r="C15" s="179">
        <f>IF('Расчет ФОТ'!Z21&gt;0,'Расчет ФОТ'!Z21+IF('Расчет ФОТ'!D21='Расчет ФОТ'!$D$7,$G$60,SUMIF($B$45:$B$60,'Расчет ФОТ'!D21,$G$45:$G$60)),0)</f>
        <v>0</v>
      </c>
      <c r="D15" s="179">
        <f>C15*(1+Калькуляция!$C$71)</f>
        <v>0</v>
      </c>
      <c r="E15" s="179">
        <f>IF('Расчет ФОТ'!J21&gt;0,'Расчет ФОТ'!J21,0)</f>
        <v>0</v>
      </c>
      <c r="F15" s="179">
        <f t="shared" si="0"/>
        <v>0</v>
      </c>
      <c r="G15" s="179">
        <f t="shared" si="1"/>
        <v>0</v>
      </c>
      <c r="H15" s="179">
        <f>F15/Калькуляция!$F$9</f>
        <v>0</v>
      </c>
      <c r="I15" s="183">
        <f>G15/Калькуляция!$F$9</f>
        <v>0</v>
      </c>
    </row>
    <row r="16" spans="1:9" x14ac:dyDescent="0.25">
      <c r="A16" s="182">
        <f>'Расчет ФОТ'!B22</f>
        <v>0</v>
      </c>
      <c r="B16" s="178">
        <f>'Расчет ФОТ'!D22</f>
        <v>0</v>
      </c>
      <c r="C16" s="179">
        <f>IF('Расчет ФОТ'!Z22&gt;0,'Расчет ФОТ'!Z22+IF('Расчет ФОТ'!D22='Расчет ФОТ'!$D$7,$G$60,SUMIF($B$45:$B$60,'Расчет ФОТ'!D22,$G$45:$G$60)),0)</f>
        <v>0</v>
      </c>
      <c r="D16" s="179">
        <f>C16*(1+Калькуляция!$C$71)</f>
        <v>0</v>
      </c>
      <c r="E16" s="179">
        <f>IF('Расчет ФОТ'!J22&gt;0,'Расчет ФОТ'!J22,0)</f>
        <v>0</v>
      </c>
      <c r="F16" s="179">
        <f t="shared" si="0"/>
        <v>0</v>
      </c>
      <c r="G16" s="179">
        <f t="shared" si="1"/>
        <v>0</v>
      </c>
      <c r="H16" s="179">
        <f>F16/Калькуляция!$F$9</f>
        <v>0</v>
      </c>
      <c r="I16" s="183">
        <f>G16/Калькуляция!$F$9</f>
        <v>0</v>
      </c>
    </row>
    <row r="17" spans="1:9" x14ac:dyDescent="0.25">
      <c r="A17" s="182">
        <f>'Расчет ФОТ'!B23</f>
        <v>0</v>
      </c>
      <c r="B17" s="178">
        <f>'Расчет ФОТ'!D23</f>
        <v>0</v>
      </c>
      <c r="C17" s="179">
        <f>IF('Расчет ФОТ'!Z23&gt;0,'Расчет ФОТ'!Z23+IF('Расчет ФОТ'!D23='Расчет ФОТ'!$D$7,$G$60,SUMIF($B$45:$B$60,'Расчет ФОТ'!D23,$G$45:$G$60)),0)</f>
        <v>0</v>
      </c>
      <c r="D17" s="179">
        <f>C17*(1+Калькуляция!$C$71)</f>
        <v>0</v>
      </c>
      <c r="E17" s="179">
        <f>IF('Расчет ФОТ'!J23&gt;0,'Расчет ФОТ'!J23,0)</f>
        <v>0</v>
      </c>
      <c r="F17" s="179">
        <f t="shared" si="0"/>
        <v>0</v>
      </c>
      <c r="G17" s="179">
        <f t="shared" si="1"/>
        <v>0</v>
      </c>
      <c r="H17" s="179">
        <f>F17/Калькуляция!$F$9</f>
        <v>0</v>
      </c>
      <c r="I17" s="183">
        <f>G17/Калькуляция!$F$9</f>
        <v>0</v>
      </c>
    </row>
    <row r="18" spans="1:9" x14ac:dyDescent="0.25">
      <c r="A18" s="182">
        <f>'Расчет ФОТ'!B24</f>
        <v>0</v>
      </c>
      <c r="B18" s="178">
        <f>'Расчет ФОТ'!D24</f>
        <v>0</v>
      </c>
      <c r="C18" s="179">
        <f>IF('Расчет ФОТ'!Z24&gt;0,'Расчет ФОТ'!Z24+IF('Расчет ФОТ'!D24='Расчет ФОТ'!$D$7,$G$60,SUMIF($B$45:$B$60,'Расчет ФОТ'!D24,$G$45:$G$60)),0)</f>
        <v>0</v>
      </c>
      <c r="D18" s="179">
        <f>C18*(1+Калькуляция!$C$71)</f>
        <v>0</v>
      </c>
      <c r="E18" s="179">
        <f>IF('Расчет ФОТ'!J24&gt;0,'Расчет ФОТ'!J24,0)</f>
        <v>0</v>
      </c>
      <c r="F18" s="179">
        <f t="shared" si="0"/>
        <v>0</v>
      </c>
      <c r="G18" s="179">
        <f t="shared" si="1"/>
        <v>0</v>
      </c>
      <c r="H18" s="179">
        <f>F18/Калькуляция!$F$9</f>
        <v>0</v>
      </c>
      <c r="I18" s="183">
        <f>G18/Калькуляция!$F$9</f>
        <v>0</v>
      </c>
    </row>
    <row r="19" spans="1:9" x14ac:dyDescent="0.25">
      <c r="A19" s="182">
        <f>'Расчет ФОТ'!B25</f>
        <v>0</v>
      </c>
      <c r="B19" s="178">
        <f>'Расчет ФОТ'!D25</f>
        <v>0</v>
      </c>
      <c r="C19" s="179">
        <f>IF('Расчет ФОТ'!Z25&gt;0,'Расчет ФОТ'!Z25+IF('Расчет ФОТ'!D25='Расчет ФОТ'!$D$7,$G$60,SUMIF($B$45:$B$60,'Расчет ФОТ'!D25,$G$45:$G$60)),0)</f>
        <v>0</v>
      </c>
      <c r="D19" s="179">
        <f>C19*(1+Калькуляция!$C$71)</f>
        <v>0</v>
      </c>
      <c r="E19" s="179">
        <f>IF('Расчет ФОТ'!J25&gt;0,'Расчет ФОТ'!J25,0)</f>
        <v>0</v>
      </c>
      <c r="F19" s="179">
        <f t="shared" si="0"/>
        <v>0</v>
      </c>
      <c r="G19" s="179">
        <f t="shared" si="1"/>
        <v>0</v>
      </c>
      <c r="H19" s="179">
        <f>F19/Калькуляция!$F$9</f>
        <v>0</v>
      </c>
      <c r="I19" s="183">
        <f>G19/Калькуляция!$F$9</f>
        <v>0</v>
      </c>
    </row>
    <row r="20" spans="1:9" x14ac:dyDescent="0.25">
      <c r="A20" s="182">
        <f>'Расчет ФОТ'!B26</f>
        <v>0</v>
      </c>
      <c r="B20" s="178">
        <f>'Расчет ФОТ'!D26</f>
        <v>0</v>
      </c>
      <c r="C20" s="179">
        <f>IF('Расчет ФОТ'!Z26&gt;0,'Расчет ФОТ'!Z26+IF('Расчет ФОТ'!D26='Расчет ФОТ'!$D$7,$G$60,SUMIF($B$45:$B$60,'Расчет ФОТ'!D26,$G$45:$G$60)),0)</f>
        <v>0</v>
      </c>
      <c r="D20" s="179">
        <f>C20*(1+Калькуляция!$C$71)</f>
        <v>0</v>
      </c>
      <c r="E20" s="179">
        <f>IF('Расчет ФОТ'!J26&gt;0,'Расчет ФОТ'!J26,0)</f>
        <v>0</v>
      </c>
      <c r="F20" s="179">
        <f t="shared" ref="F20:F34" si="2">IF(E20&gt;0,E20*C20,0)</f>
        <v>0</v>
      </c>
      <c r="G20" s="179">
        <f t="shared" ref="G20:G34" si="3">IF(E20&gt;0,E20*D20,0)</f>
        <v>0</v>
      </c>
      <c r="H20" s="179">
        <f>F20/Калькуляция!$F$9</f>
        <v>0</v>
      </c>
      <c r="I20" s="183">
        <f>G20/Калькуляция!$F$9</f>
        <v>0</v>
      </c>
    </row>
    <row r="21" spans="1:9" x14ac:dyDescent="0.25">
      <c r="A21" s="182">
        <f>'Расчет ФОТ'!B27</f>
        <v>0</v>
      </c>
      <c r="B21" s="178">
        <f>'Расчет ФОТ'!D27</f>
        <v>0</v>
      </c>
      <c r="C21" s="179">
        <f>IF('Расчет ФОТ'!Z27&gt;0,'Расчет ФОТ'!Z27+IF('Расчет ФОТ'!D27='Расчет ФОТ'!$D$7,$G$60,SUMIF($B$45:$B$60,'Расчет ФОТ'!D27,$G$45:$G$60)),0)</f>
        <v>0</v>
      </c>
      <c r="D21" s="179">
        <f>C21*(1+Калькуляция!$C$71)</f>
        <v>0</v>
      </c>
      <c r="E21" s="179">
        <f>IF('Расчет ФОТ'!J27&gt;0,'Расчет ФОТ'!J27,0)</f>
        <v>0</v>
      </c>
      <c r="F21" s="179">
        <f t="shared" si="2"/>
        <v>0</v>
      </c>
      <c r="G21" s="179">
        <f t="shared" si="3"/>
        <v>0</v>
      </c>
      <c r="H21" s="179">
        <f>F21/Калькуляция!$F$9</f>
        <v>0</v>
      </c>
      <c r="I21" s="183">
        <f>G21/Калькуляция!$F$9</f>
        <v>0</v>
      </c>
    </row>
    <row r="22" spans="1:9" x14ac:dyDescent="0.25">
      <c r="A22" s="182">
        <f>'Расчет ФОТ'!B28</f>
        <v>0</v>
      </c>
      <c r="B22" s="178">
        <f>'Расчет ФОТ'!D28</f>
        <v>0</v>
      </c>
      <c r="C22" s="179">
        <f>IF('Расчет ФОТ'!Z28&gt;0,'Расчет ФОТ'!Z28+IF('Расчет ФОТ'!D28='Расчет ФОТ'!$D$7,$G$60,SUMIF($B$45:$B$60,'Расчет ФОТ'!D28,$G$45:$G$60)),0)</f>
        <v>0</v>
      </c>
      <c r="D22" s="179">
        <f>C22*(1+Калькуляция!$C$71)</f>
        <v>0</v>
      </c>
      <c r="E22" s="179">
        <f>IF('Расчет ФОТ'!J28&gt;0,'Расчет ФОТ'!J28,0)</f>
        <v>0</v>
      </c>
      <c r="F22" s="179">
        <f t="shared" si="2"/>
        <v>0</v>
      </c>
      <c r="G22" s="179">
        <f t="shared" si="3"/>
        <v>0</v>
      </c>
      <c r="H22" s="179">
        <f>F22/Калькуляция!$F$9</f>
        <v>0</v>
      </c>
      <c r="I22" s="183">
        <f>G22/Калькуляция!$F$9</f>
        <v>0</v>
      </c>
    </row>
    <row r="23" spans="1:9" x14ac:dyDescent="0.25">
      <c r="A23" s="182">
        <f>'Расчет ФОТ'!B29</f>
        <v>0</v>
      </c>
      <c r="B23" s="178">
        <f>'Расчет ФОТ'!D29</f>
        <v>0</v>
      </c>
      <c r="C23" s="179">
        <f>IF('Расчет ФОТ'!Z29&gt;0,'Расчет ФОТ'!Z29+IF('Расчет ФОТ'!D29='Расчет ФОТ'!$D$7,$G$60,SUMIF($B$45:$B$60,'Расчет ФОТ'!D29,$G$45:$G$60)),0)</f>
        <v>0</v>
      </c>
      <c r="D23" s="179">
        <f>C23*(1+Калькуляция!$C$71)</f>
        <v>0</v>
      </c>
      <c r="E23" s="179">
        <f>IF('Расчет ФОТ'!J29&gt;0,'Расчет ФОТ'!J29,0)</f>
        <v>0</v>
      </c>
      <c r="F23" s="179">
        <f t="shared" si="2"/>
        <v>0</v>
      </c>
      <c r="G23" s="179">
        <f t="shared" si="3"/>
        <v>0</v>
      </c>
      <c r="H23" s="179">
        <f>F23/Калькуляция!$F$9</f>
        <v>0</v>
      </c>
      <c r="I23" s="183">
        <f>G23/Калькуляция!$F$9</f>
        <v>0</v>
      </c>
    </row>
    <row r="24" spans="1:9" x14ac:dyDescent="0.25">
      <c r="A24" s="182">
        <f>'Расчет ФОТ'!B30</f>
        <v>0</v>
      </c>
      <c r="B24" s="178">
        <f>'Расчет ФОТ'!D30</f>
        <v>0</v>
      </c>
      <c r="C24" s="179">
        <f>IF('Расчет ФОТ'!Z30&gt;0,'Расчет ФОТ'!Z30+IF('Расчет ФОТ'!D30='Расчет ФОТ'!$D$7,$G$60,SUMIF($B$45:$B$60,'Расчет ФОТ'!D30,$G$45:$G$60)),0)</f>
        <v>0</v>
      </c>
      <c r="D24" s="179">
        <f>C24*(1+Калькуляция!$C$71)</f>
        <v>0</v>
      </c>
      <c r="E24" s="179">
        <f>IF('Расчет ФОТ'!J30&gt;0,'Расчет ФОТ'!J30,0)</f>
        <v>0</v>
      </c>
      <c r="F24" s="179">
        <f t="shared" si="2"/>
        <v>0</v>
      </c>
      <c r="G24" s="179">
        <f t="shared" si="3"/>
        <v>0</v>
      </c>
      <c r="H24" s="179">
        <f>F24/Калькуляция!$F$9</f>
        <v>0</v>
      </c>
      <c r="I24" s="183">
        <f>G24/Калькуляция!$F$9</f>
        <v>0</v>
      </c>
    </row>
    <row r="25" spans="1:9" x14ac:dyDescent="0.25">
      <c r="A25" s="182">
        <f>'Расчет ФОТ'!B31</f>
        <v>0</v>
      </c>
      <c r="B25" s="178">
        <f>'Расчет ФОТ'!D31</f>
        <v>0</v>
      </c>
      <c r="C25" s="179">
        <f>IF('Расчет ФОТ'!Z31&gt;0,'Расчет ФОТ'!Z31+IF('Расчет ФОТ'!D31='Расчет ФОТ'!$D$7,$G$60,SUMIF($B$45:$B$60,'Расчет ФОТ'!D31,$G$45:$G$60)),0)</f>
        <v>0</v>
      </c>
      <c r="D25" s="179">
        <f>C25*(1+Калькуляция!$C$71)</f>
        <v>0</v>
      </c>
      <c r="E25" s="179">
        <f>IF('Расчет ФОТ'!J31&gt;0,'Расчет ФОТ'!J31,0)</f>
        <v>0</v>
      </c>
      <c r="F25" s="179">
        <f t="shared" si="2"/>
        <v>0</v>
      </c>
      <c r="G25" s="179">
        <f t="shared" si="3"/>
        <v>0</v>
      </c>
      <c r="H25" s="179">
        <f>F25/Калькуляция!$F$9</f>
        <v>0</v>
      </c>
      <c r="I25" s="183">
        <f>G25/Калькуляция!$F$9</f>
        <v>0</v>
      </c>
    </row>
    <row r="26" spans="1:9" x14ac:dyDescent="0.25">
      <c r="A26" s="182">
        <f>'Расчет ФОТ'!B32</f>
        <v>0</v>
      </c>
      <c r="B26" s="178">
        <f>'Расчет ФОТ'!D32</f>
        <v>0</v>
      </c>
      <c r="C26" s="179">
        <f>IF('Расчет ФОТ'!Z32&gt;0,'Расчет ФОТ'!Z32+IF('Расчет ФОТ'!D32='Расчет ФОТ'!$D$7,$G$60,SUMIF($B$45:$B$60,'Расчет ФОТ'!D32,$G$45:$G$60)),0)</f>
        <v>0</v>
      </c>
      <c r="D26" s="179">
        <f>C26*(1+Калькуляция!$C$71)</f>
        <v>0</v>
      </c>
      <c r="E26" s="179">
        <f>IF('Расчет ФОТ'!J32&gt;0,'Расчет ФОТ'!J32,0)</f>
        <v>0</v>
      </c>
      <c r="F26" s="179">
        <f t="shared" si="2"/>
        <v>0</v>
      </c>
      <c r="G26" s="179">
        <f t="shared" si="3"/>
        <v>0</v>
      </c>
      <c r="H26" s="179">
        <f>F26/Калькуляция!$F$9</f>
        <v>0</v>
      </c>
      <c r="I26" s="183">
        <f>G26/Калькуляция!$F$9</f>
        <v>0</v>
      </c>
    </row>
    <row r="27" spans="1:9" x14ac:dyDescent="0.25">
      <c r="A27" s="182">
        <f>'Расчет ФОТ'!B33</f>
        <v>0</v>
      </c>
      <c r="B27" s="178">
        <f>'Расчет ФОТ'!D33</f>
        <v>0</v>
      </c>
      <c r="C27" s="179">
        <f>IF('Расчет ФОТ'!Z33&gt;0,'Расчет ФОТ'!Z33+IF('Расчет ФОТ'!D33='Расчет ФОТ'!$D$7,$G$60,SUMIF($B$45:$B$60,'Расчет ФОТ'!D33,$G$45:$G$60)),0)</f>
        <v>0</v>
      </c>
      <c r="D27" s="179">
        <f>C27*(1+Калькуляция!$C$71)</f>
        <v>0</v>
      </c>
      <c r="E27" s="179">
        <f>IF('Расчет ФОТ'!J33&gt;0,'Расчет ФОТ'!J33,0)</f>
        <v>0</v>
      </c>
      <c r="F27" s="179">
        <f t="shared" si="2"/>
        <v>0</v>
      </c>
      <c r="G27" s="179">
        <f t="shared" si="3"/>
        <v>0</v>
      </c>
      <c r="H27" s="179">
        <f>F27/Калькуляция!$F$9</f>
        <v>0</v>
      </c>
      <c r="I27" s="183">
        <f>G27/Калькуляция!$F$9</f>
        <v>0</v>
      </c>
    </row>
    <row r="28" spans="1:9" x14ac:dyDescent="0.25">
      <c r="A28" s="182">
        <f>'Расчет ФОТ'!B34</f>
        <v>0</v>
      </c>
      <c r="B28" s="178">
        <f>'Расчет ФОТ'!D34</f>
        <v>0</v>
      </c>
      <c r="C28" s="179">
        <f>IF('Расчет ФОТ'!Z34&gt;0,'Расчет ФОТ'!Z34+IF('Расчет ФОТ'!D34='Расчет ФОТ'!$D$7,$G$60,SUMIF($B$45:$B$60,'Расчет ФОТ'!D34,$G$45:$G$60)),0)</f>
        <v>0</v>
      </c>
      <c r="D28" s="179">
        <f>C28*(1+Калькуляция!$C$71)</f>
        <v>0</v>
      </c>
      <c r="E28" s="179">
        <f>IF('Расчет ФОТ'!J34&gt;0,'Расчет ФОТ'!J34,0)</f>
        <v>0</v>
      </c>
      <c r="F28" s="179">
        <f t="shared" si="2"/>
        <v>0</v>
      </c>
      <c r="G28" s="179">
        <f t="shared" si="3"/>
        <v>0</v>
      </c>
      <c r="H28" s="179">
        <f>F28/Калькуляция!$F$9</f>
        <v>0</v>
      </c>
      <c r="I28" s="183">
        <f>G28/Калькуляция!$F$9</f>
        <v>0</v>
      </c>
    </row>
    <row r="29" spans="1:9" x14ac:dyDescent="0.25">
      <c r="A29" s="182">
        <f>'Расчет ФОТ'!B35</f>
        <v>0</v>
      </c>
      <c r="B29" s="178">
        <f>'Расчет ФОТ'!D35</f>
        <v>0</v>
      </c>
      <c r="C29" s="179">
        <f>IF('Расчет ФОТ'!Z35&gt;0,'Расчет ФОТ'!Z35+IF('Расчет ФОТ'!D35='Расчет ФОТ'!$D$7,$G$60,SUMIF($B$45:$B$60,'Расчет ФОТ'!D35,$G$45:$G$60)),0)</f>
        <v>0</v>
      </c>
      <c r="D29" s="179">
        <f>C29*(1+Калькуляция!$C$71)</f>
        <v>0</v>
      </c>
      <c r="E29" s="179">
        <f>IF('Расчет ФОТ'!J35&gt;0,'Расчет ФОТ'!J35,0)</f>
        <v>0</v>
      </c>
      <c r="F29" s="179">
        <f t="shared" si="2"/>
        <v>0</v>
      </c>
      <c r="G29" s="179">
        <f t="shared" si="3"/>
        <v>0</v>
      </c>
      <c r="H29" s="179">
        <f>F29/Калькуляция!$F$9</f>
        <v>0</v>
      </c>
      <c r="I29" s="183">
        <f>G29/Калькуляция!$F$9</f>
        <v>0</v>
      </c>
    </row>
    <row r="30" spans="1:9" x14ac:dyDescent="0.25">
      <c r="A30" s="182">
        <f>'Расчет ФОТ'!B36</f>
        <v>0</v>
      </c>
      <c r="B30" s="178">
        <f>'Расчет ФОТ'!D36</f>
        <v>0</v>
      </c>
      <c r="C30" s="179">
        <f>IF('Расчет ФОТ'!Z36&gt;0,'Расчет ФОТ'!Z36+IF('Расчет ФОТ'!D36='Расчет ФОТ'!$D$7,$G$60,SUMIF($B$45:$B$60,'Расчет ФОТ'!D36,$G$45:$G$60)),0)</f>
        <v>0</v>
      </c>
      <c r="D30" s="179">
        <f>C30*(1+Калькуляция!$C$71)</f>
        <v>0</v>
      </c>
      <c r="E30" s="179">
        <f>IF('Расчет ФОТ'!J36&gt;0,'Расчет ФОТ'!J36,0)</f>
        <v>0</v>
      </c>
      <c r="F30" s="179">
        <f t="shared" si="2"/>
        <v>0</v>
      </c>
      <c r="G30" s="179">
        <f t="shared" si="3"/>
        <v>0</v>
      </c>
      <c r="H30" s="179">
        <f>F30/Калькуляция!$F$9</f>
        <v>0</v>
      </c>
      <c r="I30" s="183">
        <f>G30/Калькуляция!$F$9</f>
        <v>0</v>
      </c>
    </row>
    <row r="31" spans="1:9" x14ac:dyDescent="0.25">
      <c r="A31" s="182">
        <f>'Расчет ФОТ'!B37</f>
        <v>0</v>
      </c>
      <c r="B31" s="178">
        <f>'Расчет ФОТ'!D37</f>
        <v>0</v>
      </c>
      <c r="C31" s="179">
        <f>IF('Расчет ФОТ'!Z37&gt;0,'Расчет ФОТ'!Z37+IF('Расчет ФОТ'!D37='Расчет ФОТ'!$D$7,$G$60,SUMIF($B$45:$B$60,'Расчет ФОТ'!D37,$G$45:$G$60)),0)</f>
        <v>0</v>
      </c>
      <c r="D31" s="179">
        <f>C31*(1+Калькуляция!$C$71)</f>
        <v>0</v>
      </c>
      <c r="E31" s="179">
        <f>IF('Расчет ФОТ'!J37&gt;0,'Расчет ФОТ'!J37,0)</f>
        <v>0</v>
      </c>
      <c r="F31" s="179">
        <f t="shared" si="2"/>
        <v>0</v>
      </c>
      <c r="G31" s="179">
        <f t="shared" si="3"/>
        <v>0</v>
      </c>
      <c r="H31" s="179">
        <f>F31/Калькуляция!$F$9</f>
        <v>0</v>
      </c>
      <c r="I31" s="183">
        <f>G31/Калькуляция!$F$9</f>
        <v>0</v>
      </c>
    </row>
    <row r="32" spans="1:9" x14ac:dyDescent="0.25">
      <c r="A32" s="182">
        <f>'Расчет ФОТ'!B38</f>
        <v>0</v>
      </c>
      <c r="B32" s="178">
        <f>'Расчет ФОТ'!D38</f>
        <v>0</v>
      </c>
      <c r="C32" s="179">
        <f>IF('Расчет ФОТ'!Z38&gt;0,'Расчет ФОТ'!Z38+IF('Расчет ФОТ'!D38='Расчет ФОТ'!$D$7,$G$60,SUMIF($B$45:$B$60,'Расчет ФОТ'!D38,$G$45:$G$60)),0)</f>
        <v>0</v>
      </c>
      <c r="D32" s="179">
        <f>C32*(1+Калькуляция!$C$71)</f>
        <v>0</v>
      </c>
      <c r="E32" s="179">
        <f>IF('Расчет ФОТ'!J38&gt;0,'Расчет ФОТ'!J38,0)</f>
        <v>0</v>
      </c>
      <c r="F32" s="179">
        <f t="shared" si="2"/>
        <v>0</v>
      </c>
      <c r="G32" s="179">
        <f t="shared" si="3"/>
        <v>0</v>
      </c>
      <c r="H32" s="179">
        <f>F32/Калькуляция!$F$9</f>
        <v>0</v>
      </c>
      <c r="I32" s="183">
        <f>G32/Калькуляция!$F$9</f>
        <v>0</v>
      </c>
    </row>
    <row r="33" spans="1:9" x14ac:dyDescent="0.25">
      <c r="A33" s="182">
        <f>'Расчет ФОТ'!B39</f>
        <v>0</v>
      </c>
      <c r="B33" s="178">
        <f>'Расчет ФОТ'!D39</f>
        <v>0</v>
      </c>
      <c r="C33" s="179">
        <f>IF('Расчет ФОТ'!Z39&gt;0,'Расчет ФОТ'!Z39+IF('Расчет ФОТ'!D39='Расчет ФОТ'!$D$7,$G$60,SUMIF($B$45:$B$60,'Расчет ФОТ'!D39,$G$45:$G$60)),0)</f>
        <v>0</v>
      </c>
      <c r="D33" s="179">
        <f>C33*(1+Калькуляция!$C$71)</f>
        <v>0</v>
      </c>
      <c r="E33" s="179">
        <f>IF('Расчет ФОТ'!J39&gt;0,'Расчет ФОТ'!J39,0)</f>
        <v>0</v>
      </c>
      <c r="F33" s="179">
        <f t="shared" si="2"/>
        <v>0</v>
      </c>
      <c r="G33" s="179">
        <f t="shared" si="3"/>
        <v>0</v>
      </c>
      <c r="H33" s="179">
        <f>F33/Калькуляция!$F$9</f>
        <v>0</v>
      </c>
      <c r="I33" s="183">
        <f>G33/Калькуляция!$F$9</f>
        <v>0</v>
      </c>
    </row>
    <row r="34" spans="1:9" x14ac:dyDescent="0.25">
      <c r="A34" s="182">
        <f>'Расчет ФОТ'!B40</f>
        <v>0</v>
      </c>
      <c r="B34" s="178">
        <f>'Расчет ФОТ'!D40</f>
        <v>0</v>
      </c>
      <c r="C34" s="179">
        <f>IF('Расчет ФОТ'!Z40&gt;0,'Расчет ФОТ'!Z40+IF('Расчет ФОТ'!D40='Расчет ФОТ'!$D$7,$G$60,SUMIF($B$45:$B$60,'Расчет ФОТ'!D40,$G$45:$G$60)),0)</f>
        <v>0</v>
      </c>
      <c r="D34" s="179">
        <f>C34*(1+Калькуляция!$C$71)</f>
        <v>0</v>
      </c>
      <c r="E34" s="179">
        <f>IF('Расчет ФОТ'!J40&gt;0,'Расчет ФОТ'!J40,0)</f>
        <v>0</v>
      </c>
      <c r="F34" s="179">
        <f t="shared" si="2"/>
        <v>0</v>
      </c>
      <c r="G34" s="179">
        <f t="shared" si="3"/>
        <v>0</v>
      </c>
      <c r="H34" s="179">
        <f>F34/Калькуляция!$F$9</f>
        <v>0</v>
      </c>
      <c r="I34" s="183">
        <f>G34/Калькуляция!$F$9</f>
        <v>0</v>
      </c>
    </row>
    <row r="35" spans="1:9" x14ac:dyDescent="0.25">
      <c r="A35" s="182">
        <f>'Расчет ФОТ'!B41</f>
        <v>0</v>
      </c>
      <c r="B35" s="178">
        <f>'Расчет ФОТ'!D41</f>
        <v>0</v>
      </c>
      <c r="C35" s="179">
        <f>IF('Расчет ФОТ'!Z41&gt;0,'Расчет ФОТ'!Z41+IF('Расчет ФОТ'!D41='Расчет ФОТ'!$D$7,$G$60,SUMIF($B$45:$B$60,'Расчет ФОТ'!D41,$G$45:$G$60)),0)</f>
        <v>0</v>
      </c>
      <c r="D35" s="179">
        <f>C35*(1+Калькуляция!$C$71)</f>
        <v>0</v>
      </c>
      <c r="E35" s="179">
        <f>IF('Расчет ФОТ'!J41&gt;0,'Расчет ФОТ'!J41,0)</f>
        <v>0</v>
      </c>
      <c r="F35" s="179">
        <f t="shared" si="0"/>
        <v>0</v>
      </c>
      <c r="G35" s="179">
        <f t="shared" si="1"/>
        <v>0</v>
      </c>
      <c r="H35" s="179">
        <f>F35/Калькуляция!$F$9</f>
        <v>0</v>
      </c>
      <c r="I35" s="183">
        <f>G35/Калькуляция!$F$9</f>
        <v>0</v>
      </c>
    </row>
    <row r="36" spans="1:9" x14ac:dyDescent="0.25">
      <c r="A36" s="182">
        <f>'Расчет ФОТ'!B42</f>
        <v>0</v>
      </c>
      <c r="B36" s="178">
        <f>'Расчет ФОТ'!D42</f>
        <v>0</v>
      </c>
      <c r="C36" s="179">
        <f>IF('Расчет ФОТ'!Z42&gt;0,'Расчет ФОТ'!Z42+IF('Расчет ФОТ'!D42='Расчет ФОТ'!$D$7,$G$60,SUMIF($B$45:$B$60,'Расчет ФОТ'!D42,$G$45:$G$60)),0)</f>
        <v>0</v>
      </c>
      <c r="D36" s="179">
        <f>C36*(1+Калькуляция!$C$71)</f>
        <v>0</v>
      </c>
      <c r="E36" s="179">
        <f>IF('Расчет ФОТ'!J42&gt;0,'Расчет ФОТ'!J42,0)</f>
        <v>0</v>
      </c>
      <c r="F36" s="179">
        <f t="shared" si="0"/>
        <v>0</v>
      </c>
      <c r="G36" s="179">
        <f t="shared" si="1"/>
        <v>0</v>
      </c>
      <c r="H36" s="179">
        <f>F36/Калькуляция!$F$9</f>
        <v>0</v>
      </c>
      <c r="I36" s="183">
        <f>G36/Калькуляция!$F$9</f>
        <v>0</v>
      </c>
    </row>
    <row r="37" spans="1:9" ht="16.5" thickBot="1" x14ac:dyDescent="0.3">
      <c r="A37" s="184">
        <f>'Расчет ФОТ'!B43</f>
        <v>0</v>
      </c>
      <c r="B37" s="185">
        <f>'Расчет ФОТ'!D43</f>
        <v>0</v>
      </c>
      <c r="C37" s="186">
        <f>IF('Расчет ФОТ'!Z43&gt;0,'Расчет ФОТ'!Z43+IF('Расчет ФОТ'!D43='Расчет ФОТ'!$D$7,$G$60,SUMIF($B$45:$B$60,'Расчет ФОТ'!D43,$G$45:$G$60)),0)</f>
        <v>0</v>
      </c>
      <c r="D37" s="186">
        <f>C37*(1+Калькуляция!$C$71)</f>
        <v>0</v>
      </c>
      <c r="E37" s="186">
        <f>IF('Расчет ФОТ'!J43&gt;0,'Расчет ФОТ'!J43,0)</f>
        <v>0</v>
      </c>
      <c r="F37" s="186">
        <f t="shared" si="0"/>
        <v>0</v>
      </c>
      <c r="G37" s="186">
        <f t="shared" si="1"/>
        <v>0</v>
      </c>
      <c r="H37" s="186">
        <f>F37/Калькуляция!$F$9</f>
        <v>0</v>
      </c>
      <c r="I37" s="187">
        <f>G37/Калькуляция!$F$9</f>
        <v>0</v>
      </c>
    </row>
    <row r="38" spans="1:9" ht="16.5" thickBot="1" x14ac:dyDescent="0.3"/>
    <row r="39" spans="1:9" ht="16.5" thickBot="1" x14ac:dyDescent="0.3">
      <c r="E39" s="188">
        <f>SUM(E3:E37)</f>
        <v>0</v>
      </c>
      <c r="F39" s="189">
        <f t="shared" ref="F39:I39" si="4">SUM(F3:F37)</f>
        <v>0</v>
      </c>
      <c r="G39" s="189">
        <f t="shared" si="4"/>
        <v>0</v>
      </c>
      <c r="H39" s="189">
        <f t="shared" si="4"/>
        <v>0</v>
      </c>
      <c r="I39" s="190">
        <f t="shared" si="4"/>
        <v>0</v>
      </c>
    </row>
    <row r="41" spans="1:9" x14ac:dyDescent="0.25">
      <c r="G41" s="196"/>
      <c r="H41" s="196"/>
      <c r="I41" s="196"/>
    </row>
    <row r="43" spans="1:9" x14ac:dyDescent="0.25">
      <c r="C43" s="197"/>
    </row>
    <row r="44" spans="1:9" ht="31.5" x14ac:dyDescent="0.25">
      <c r="B44" s="172"/>
      <c r="C44" s="75" t="s">
        <v>305</v>
      </c>
      <c r="D44" s="74" t="s">
        <v>306</v>
      </c>
      <c r="E44" s="75" t="s">
        <v>307</v>
      </c>
      <c r="F44" s="75" t="s">
        <v>308</v>
      </c>
      <c r="G44" s="75" t="s">
        <v>309</v>
      </c>
    </row>
    <row r="45" spans="1:9" x14ac:dyDescent="0.25">
      <c r="B45" s="175" t="str">
        <f>'Расчет ФОТ'!B46</f>
        <v>Управление объектом</v>
      </c>
      <c r="C45" s="173">
        <f>IF(D45&gt;0,SUMIF(Калькуляция!$D$18:$D$63,B45,Калькуляция!$H$18:$H$63),0)</f>
        <v>0</v>
      </c>
      <c r="D45" s="173">
        <f>SUMIF('Расчет ФОТ'!$D$9:$D$43,B45,'Расчет ФОТ'!$J$9:$J$43)</f>
        <v>0</v>
      </c>
      <c r="E45" s="173">
        <f>IF(D45&gt;0,C45/D45,0)</f>
        <v>0</v>
      </c>
      <c r="F45" s="173" t="e">
        <f>(SUM(Калькуляция!H49,Калькуляция!H56:H63,Калькуляция!H65:H66,Калькуляция!H68)+$C$61)/'Расчет ФОТ'!J7</f>
        <v>#DIV/0!</v>
      </c>
      <c r="G45" s="173" t="e">
        <f>SUM(E45:F45)</f>
        <v>#DIV/0!</v>
      </c>
    </row>
    <row r="46" spans="1:9" x14ac:dyDescent="0.25">
      <c r="B46" s="175" t="str">
        <f>'Расчет ФОТ'!B47</f>
        <v>Уборка внутренних помещений (ОВУ)</v>
      </c>
      <c r="C46" s="173">
        <f>IF(D46&gt;0,SUMIF(Калькуляция!$D$18:$D$63,B46,Калькуляция!$H$18:$H$63),0)</f>
        <v>0</v>
      </c>
      <c r="D46" s="173">
        <f>SUMIF('Расчет ФОТ'!$D$9:$D$43,B46,'Расчет ФОТ'!$J$9:$J$43)</f>
        <v>0</v>
      </c>
      <c r="E46" s="173">
        <f t="shared" ref="E46:E60" si="5">IF(D46&gt;0,C46/D46,0)</f>
        <v>0</v>
      </c>
      <c r="F46" s="173" t="e">
        <f>F45</f>
        <v>#DIV/0!</v>
      </c>
      <c r="G46" s="173" t="e">
        <f t="shared" ref="G46:G60" si="6">SUM(E46:F46)</f>
        <v>#DIV/0!</v>
      </c>
    </row>
    <row r="47" spans="1:9" x14ac:dyDescent="0.25">
      <c r="B47" s="175" t="str">
        <f>'Расчет ФОТ'!B48</f>
        <v>Уборка внутренних помещений (ОПМ)</v>
      </c>
      <c r="C47" s="173">
        <f>IF(D47&gt;0,SUMIF(Калькуляция!$D$18:$D$63,B47,Калькуляция!$H$18:$H$63),0)</f>
        <v>0</v>
      </c>
      <c r="D47" s="173">
        <f>SUMIF('Расчет ФОТ'!$D$9:$D$43,B47,'Расчет ФОТ'!$J$9:$J$43)</f>
        <v>0</v>
      </c>
      <c r="E47" s="173">
        <f t="shared" si="5"/>
        <v>0</v>
      </c>
      <c r="F47" s="173" t="e">
        <f t="shared" ref="F47:F59" si="7">F46</f>
        <v>#DIV/0!</v>
      </c>
      <c r="G47" s="173" t="e">
        <f t="shared" si="6"/>
        <v>#DIV/0!</v>
      </c>
    </row>
    <row r="48" spans="1:9" x14ac:dyDescent="0.25">
      <c r="B48" s="175" t="str">
        <f>'Расчет ФОТ'!B49</f>
        <v>Сбор тележек</v>
      </c>
      <c r="C48" s="173">
        <f>IF(D48&gt;0,SUMIF(Калькуляция!$D$18:$D$63,B48,Калькуляция!$H$18:$H$63),0)</f>
        <v>0</v>
      </c>
      <c r="D48" s="173">
        <f>SUMIF('Расчет ФОТ'!$D$9:$D$43,B48,'Расчет ФОТ'!$J$9:$J$43)</f>
        <v>0</v>
      </c>
      <c r="E48" s="173">
        <f t="shared" si="5"/>
        <v>0</v>
      </c>
      <c r="F48" s="173" t="e">
        <f t="shared" si="7"/>
        <v>#DIV/0!</v>
      </c>
      <c r="G48" s="173" t="e">
        <f t="shared" si="6"/>
        <v>#DIV/0!</v>
      </c>
    </row>
    <row r="49" spans="2:7" x14ac:dyDescent="0.25">
      <c r="B49" s="175" t="str">
        <f>'Расчет ФОТ'!B50</f>
        <v>Уборка внешней территории (ОВнУ)</v>
      </c>
      <c r="C49" s="173">
        <f>IF(D49&gt;0,SUMIF(Калькуляция!$D$18:$D$63,B49,Калькуляция!$H$18:$H$63),0)</f>
        <v>0</v>
      </c>
      <c r="D49" s="173">
        <f>SUMIF('Расчет ФОТ'!$D$9:$D$43,B49,'Расчет ФОТ'!$J$9:$J$43)</f>
        <v>0</v>
      </c>
      <c r="E49" s="173">
        <f t="shared" si="5"/>
        <v>0</v>
      </c>
      <c r="F49" s="173" t="e">
        <f t="shared" si="7"/>
        <v>#DIV/0!</v>
      </c>
      <c r="G49" s="173" t="e">
        <f t="shared" si="6"/>
        <v>#DIV/0!</v>
      </c>
    </row>
    <row r="50" spans="2:7" x14ac:dyDescent="0.25">
      <c r="B50" s="175" t="str">
        <f>'Расчет ФОТ'!B51</f>
        <v>Уборка внешней территории с помощью трактора</v>
      </c>
      <c r="C50" s="173">
        <f>IF(D50&gt;0,SUMIF(Калькуляция!$D$18:$D$63,B50,Калькуляция!$H$18:$H$63),0)</f>
        <v>0</v>
      </c>
      <c r="D50" s="173">
        <f>SUMIF('Расчет ФОТ'!$D$9:$D$43,B50,'Расчет ФОТ'!$J$9:$J$43)</f>
        <v>0</v>
      </c>
      <c r="E50" s="173">
        <f t="shared" si="5"/>
        <v>0</v>
      </c>
      <c r="F50" s="173" t="e">
        <f t="shared" si="7"/>
        <v>#DIV/0!</v>
      </c>
      <c r="G50" s="173" t="e">
        <f t="shared" si="6"/>
        <v>#DIV/0!</v>
      </c>
    </row>
    <row r="51" spans="2:7" x14ac:dyDescent="0.25">
      <c r="B51" s="175" t="str">
        <f>'Расчет ФОТ'!B52</f>
        <v>Категория 7</v>
      </c>
      <c r="C51" s="173">
        <f>IF(D51&gt;0,SUMIF(Калькуляция!$D$18:$D$63,B51,Калькуляция!$H$18:$H$63),0)</f>
        <v>0</v>
      </c>
      <c r="D51" s="173">
        <f>SUMIF('Расчет ФОТ'!$D$9:$D$43,B51,'Расчет ФОТ'!$J$9:$J$43)</f>
        <v>0</v>
      </c>
      <c r="E51" s="173">
        <f t="shared" si="5"/>
        <v>0</v>
      </c>
      <c r="F51" s="173" t="e">
        <f t="shared" si="7"/>
        <v>#DIV/0!</v>
      </c>
      <c r="G51" s="173" t="e">
        <f t="shared" si="6"/>
        <v>#DIV/0!</v>
      </c>
    </row>
    <row r="52" spans="2:7" x14ac:dyDescent="0.25">
      <c r="B52" s="175" t="str">
        <f>'Расчет ФОТ'!B53</f>
        <v>Категория 8</v>
      </c>
      <c r="C52" s="173">
        <f>IF(D52&gt;0,SUMIF(Калькуляция!$D$18:$D$63,B52,Калькуляция!$H$18:$H$63),0)</f>
        <v>0</v>
      </c>
      <c r="D52" s="173">
        <f>SUMIF('Расчет ФОТ'!$D$9:$D$43,B52,'Расчет ФОТ'!$J$9:$J$43)</f>
        <v>0</v>
      </c>
      <c r="E52" s="173">
        <f t="shared" si="5"/>
        <v>0</v>
      </c>
      <c r="F52" s="173" t="e">
        <f t="shared" si="7"/>
        <v>#DIV/0!</v>
      </c>
      <c r="G52" s="173" t="e">
        <f t="shared" si="6"/>
        <v>#DIV/0!</v>
      </c>
    </row>
    <row r="53" spans="2:7" x14ac:dyDescent="0.25">
      <c r="B53" s="175" t="str">
        <f>'Расчет ФОТ'!B54</f>
        <v>Категория 9</v>
      </c>
      <c r="C53" s="173">
        <f>IF(D53&gt;0,SUMIF(Калькуляция!$D$18:$D$63,B53,Калькуляция!$H$18:$H$63),0)</f>
        <v>0</v>
      </c>
      <c r="D53" s="173">
        <f>SUMIF('Расчет ФОТ'!$D$9:$D$43,B53,'Расчет ФОТ'!$J$9:$J$43)</f>
        <v>0</v>
      </c>
      <c r="E53" s="173">
        <f t="shared" si="5"/>
        <v>0</v>
      </c>
      <c r="F53" s="173" t="e">
        <f t="shared" si="7"/>
        <v>#DIV/0!</v>
      </c>
      <c r="G53" s="173" t="e">
        <f t="shared" si="6"/>
        <v>#DIV/0!</v>
      </c>
    </row>
    <row r="54" spans="2:7" x14ac:dyDescent="0.25">
      <c r="B54" s="175" t="str">
        <f>'Расчет ФОТ'!B55</f>
        <v>Категория 10</v>
      </c>
      <c r="C54" s="173">
        <f>IF(D54&gt;0,SUMIF(Калькуляция!$D$18:$D$63,B54,Калькуляция!$H$18:$H$63),0)</f>
        <v>0</v>
      </c>
      <c r="D54" s="173">
        <f>SUMIF('Расчет ФОТ'!$D$9:$D$43,B54,'Расчет ФОТ'!$J$9:$J$43)</f>
        <v>0</v>
      </c>
      <c r="E54" s="173">
        <f t="shared" si="5"/>
        <v>0</v>
      </c>
      <c r="F54" s="173" t="e">
        <f t="shared" si="7"/>
        <v>#DIV/0!</v>
      </c>
      <c r="G54" s="173" t="e">
        <f t="shared" si="6"/>
        <v>#DIV/0!</v>
      </c>
    </row>
    <row r="55" spans="2:7" x14ac:dyDescent="0.25">
      <c r="B55" s="175" t="str">
        <f>'Расчет ФОТ'!B56</f>
        <v>Категория 11</v>
      </c>
      <c r="C55" s="173">
        <f>IF(D55&gt;0,SUMIF(Калькуляция!$D$18:$D$63,B55,Калькуляция!$H$18:$H$63),0)</f>
        <v>0</v>
      </c>
      <c r="D55" s="173">
        <f>SUMIF('Расчет ФОТ'!$D$9:$D$43,B55,'Расчет ФОТ'!$J$9:$J$43)</f>
        <v>0</v>
      </c>
      <c r="E55" s="173">
        <f t="shared" si="5"/>
        <v>0</v>
      </c>
      <c r="F55" s="173" t="e">
        <f t="shared" si="7"/>
        <v>#DIV/0!</v>
      </c>
      <c r="G55" s="173" t="e">
        <f t="shared" si="6"/>
        <v>#DIV/0!</v>
      </c>
    </row>
    <row r="56" spans="2:7" x14ac:dyDescent="0.25">
      <c r="B56" s="175" t="str">
        <f>'Расчет ФОТ'!B57</f>
        <v>Категория 12</v>
      </c>
      <c r="C56" s="173">
        <f>IF(D56&gt;0,SUMIF(Калькуляция!$D$18:$D$63,B56,Калькуляция!$H$18:$H$63),0)</f>
        <v>0</v>
      </c>
      <c r="D56" s="173">
        <f>SUMIF('Расчет ФОТ'!$D$9:$D$43,B56,'Расчет ФОТ'!$J$9:$J$43)</f>
        <v>0</v>
      </c>
      <c r="E56" s="173">
        <f t="shared" si="5"/>
        <v>0</v>
      </c>
      <c r="F56" s="173" t="e">
        <f t="shared" si="7"/>
        <v>#DIV/0!</v>
      </c>
      <c r="G56" s="173" t="e">
        <f t="shared" si="6"/>
        <v>#DIV/0!</v>
      </c>
    </row>
    <row r="57" spans="2:7" x14ac:dyDescent="0.25">
      <c r="B57" s="175" t="str">
        <f>'Расчет ФОТ'!B58</f>
        <v>Категория 13</v>
      </c>
      <c r="C57" s="173">
        <f>IF(D57&gt;0,SUMIF(Калькуляция!$D$18:$D$63,B57,Калькуляция!$H$18:$H$63),0)</f>
        <v>0</v>
      </c>
      <c r="D57" s="173">
        <f>SUMIF('Расчет ФОТ'!$D$9:$D$43,B57,'Расчет ФОТ'!$J$9:$J$43)</f>
        <v>0</v>
      </c>
      <c r="E57" s="173">
        <f t="shared" si="5"/>
        <v>0</v>
      </c>
      <c r="F57" s="173" t="e">
        <f t="shared" si="7"/>
        <v>#DIV/0!</v>
      </c>
      <c r="G57" s="173" t="e">
        <f t="shared" si="6"/>
        <v>#DIV/0!</v>
      </c>
    </row>
    <row r="58" spans="2:7" x14ac:dyDescent="0.25">
      <c r="B58" s="175" t="str">
        <f>'Расчет ФОТ'!B59</f>
        <v>Категория 14</v>
      </c>
      <c r="C58" s="173">
        <f>IF(D58&gt;0,SUMIF(Калькуляция!$D$18:$D$63,B58,Калькуляция!$H$18:$H$63),0)</f>
        <v>0</v>
      </c>
      <c r="D58" s="173">
        <f>SUMIF('Расчет ФОТ'!$D$9:$D$43,B58,'Расчет ФОТ'!$J$9:$J$43)</f>
        <v>0</v>
      </c>
      <c r="E58" s="173">
        <f t="shared" si="5"/>
        <v>0</v>
      </c>
      <c r="F58" s="173" t="e">
        <f t="shared" si="7"/>
        <v>#DIV/0!</v>
      </c>
      <c r="G58" s="173" t="e">
        <f t="shared" si="6"/>
        <v>#DIV/0!</v>
      </c>
    </row>
    <row r="59" spans="2:7" x14ac:dyDescent="0.25">
      <c r="B59" s="175" t="str">
        <f>'Расчет ФОТ'!B60</f>
        <v>Категория 15</v>
      </c>
      <c r="C59" s="173">
        <f>IF(D59&gt;0,SUMIF(Калькуляция!$D$18:$D$63,B59,Калькуляция!$H$18:$H$63),0)</f>
        <v>0</v>
      </c>
      <c r="D59" s="173">
        <f>SUMIF('Расчет ФОТ'!$D$9:$D$43,B59,'Расчет ФОТ'!$J$9:$J$43)</f>
        <v>0</v>
      </c>
      <c r="E59" s="173">
        <f t="shared" si="5"/>
        <v>0</v>
      </c>
      <c r="F59" s="173" t="e">
        <f t="shared" si="7"/>
        <v>#DIV/0!</v>
      </c>
      <c r="G59" s="173" t="e">
        <f t="shared" si="6"/>
        <v>#DIV/0!</v>
      </c>
    </row>
    <row r="60" spans="2:7" x14ac:dyDescent="0.25">
      <c r="B60" s="175" t="s">
        <v>252</v>
      </c>
      <c r="C60" s="139">
        <f>SUM(Калькуляция!H17,Калькуляция!H22,Калькуляция!H31,Калькуляция!H40,Калькуляция!H50)-SUM(C45:C59)</f>
        <v>0</v>
      </c>
      <c r="D60" s="174">
        <f>'Расчет ФОТ'!J7-SUM(D45:D59)</f>
        <v>0</v>
      </c>
      <c r="E60" s="173">
        <f t="shared" si="5"/>
        <v>0</v>
      </c>
      <c r="F60" s="174" t="e">
        <f>F59</f>
        <v>#DIV/0!</v>
      </c>
      <c r="G60" s="173" t="e">
        <f t="shared" si="6"/>
        <v>#DIV/0!</v>
      </c>
    </row>
    <row r="61" spans="2:7" x14ac:dyDescent="0.25">
      <c r="B61" s="175" t="s">
        <v>251</v>
      </c>
      <c r="C61" s="139">
        <f>IF(D60=0,C60,0)</f>
        <v>0</v>
      </c>
      <c r="D61" s="74"/>
      <c r="E61" s="74"/>
      <c r="F61" s="74"/>
      <c r="G61" s="74"/>
    </row>
    <row r="65" spans="8:8" x14ac:dyDescent="0.25">
      <c r="H65" s="115"/>
    </row>
    <row r="66" spans="8:8" x14ac:dyDescent="0.25">
      <c r="H66" s="171"/>
    </row>
    <row r="67" spans="8:8" x14ac:dyDescent="0.25">
      <c r="H67" s="171"/>
    </row>
    <row r="68" spans="8:8" x14ac:dyDescent="0.25">
      <c r="H68" s="171"/>
    </row>
    <row r="69" spans="8:8" x14ac:dyDescent="0.25">
      <c r="H69" s="171"/>
    </row>
    <row r="70" spans="8:8" x14ac:dyDescent="0.25">
      <c r="H70" s="171"/>
    </row>
    <row r="71" spans="8:8" x14ac:dyDescent="0.25">
      <c r="H71" s="171"/>
    </row>
    <row r="72" spans="8:8" x14ac:dyDescent="0.25">
      <c r="H72" s="171"/>
    </row>
    <row r="73" spans="8:8" x14ac:dyDescent="0.25">
      <c r="H73" s="171"/>
    </row>
    <row r="74" spans="8:8" x14ac:dyDescent="0.25">
      <c r="H74" s="171"/>
    </row>
    <row r="75" spans="8:8" x14ac:dyDescent="0.25">
      <c r="H75" s="171"/>
    </row>
    <row r="76" spans="8:8" x14ac:dyDescent="0.25">
      <c r="H76" s="171"/>
    </row>
    <row r="77" spans="8:8" x14ac:dyDescent="0.25">
      <c r="H77" s="171"/>
    </row>
    <row r="78" spans="8:8" x14ac:dyDescent="0.25">
      <c r="H78" s="171"/>
    </row>
    <row r="79" spans="8:8" x14ac:dyDescent="0.25">
      <c r="H79" s="171"/>
    </row>
    <row r="80" spans="8:8" x14ac:dyDescent="0.25">
      <c r="H80" s="171"/>
    </row>
    <row r="81" spans="8:8" x14ac:dyDescent="0.25">
      <c r="H81" s="115"/>
    </row>
    <row r="82" spans="8:8" x14ac:dyDescent="0.25">
      <c r="H82" s="115"/>
    </row>
  </sheetData>
  <sheetProtection algorithmName="SHA-512" hashValue="84C6z350DLONCVBfcG0iRmKS7Ppyva8nRpMcXdVvsfEPJveHya8oAlVKQshU7tkL/pyTGF9RL4ruACRUGtTtlg==" saltValue="ujP1oi/WRIosqxAYirXfyQ==" spinCount="100000" sheet="1" objects="1" scenarios="1"/>
  <mergeCells count="6">
    <mergeCell ref="H1:I1"/>
    <mergeCell ref="F1:G1"/>
    <mergeCell ref="A1:A2"/>
    <mergeCell ref="B1:B2"/>
    <mergeCell ref="E1:E2"/>
    <mergeCell ref="C1:D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K110"/>
  <sheetViews>
    <sheetView zoomScaleNormal="100" workbookViewId="0">
      <selection activeCell="E12" sqref="E12"/>
    </sheetView>
  </sheetViews>
  <sheetFormatPr defaultColWidth="8.85546875" defaultRowHeight="15" x14ac:dyDescent="0.25"/>
  <cols>
    <col min="1" max="1" width="5.42578125" style="203" customWidth="1"/>
    <col min="2" max="2" width="48.85546875" style="213" customWidth="1"/>
    <col min="3" max="3" width="22.7109375" style="213" customWidth="1"/>
    <col min="4" max="4" width="20.28515625" style="213" customWidth="1"/>
    <col min="5" max="5" width="12.7109375" style="213" customWidth="1"/>
    <col min="6" max="6" width="12.7109375" style="203" customWidth="1"/>
    <col min="7" max="7" width="9.140625" style="203" bestFit="1" customWidth="1"/>
    <col min="8" max="8" width="16.7109375" style="203" customWidth="1"/>
    <col min="9" max="9" width="20.7109375" style="203" customWidth="1"/>
    <col min="10" max="10" width="8.85546875" style="203"/>
    <col min="11" max="11" width="10" style="203" bestFit="1" customWidth="1"/>
    <col min="12" max="16384" width="8.85546875" style="203"/>
  </cols>
  <sheetData>
    <row r="1" spans="2:9" ht="15.75" thickBot="1" x14ac:dyDescent="0.3"/>
    <row r="2" spans="2:9" x14ac:dyDescent="0.25">
      <c r="B2" s="426" t="str">
        <f>Калькуляция!B1</f>
        <v xml:space="preserve">Наименование/ИНН подрядчика </v>
      </c>
      <c r="C2" s="427"/>
      <c r="D2" s="427"/>
      <c r="E2" s="428">
        <f>Калькуляция!C1</f>
        <v>0</v>
      </c>
      <c r="F2" s="428"/>
      <c r="G2" s="428"/>
      <c r="H2" s="428"/>
      <c r="I2" s="429"/>
    </row>
    <row r="3" spans="2:9" ht="15.75" thickBot="1" x14ac:dyDescent="0.3">
      <c r="B3" s="430" t="str">
        <f>Калькуляция!B6</f>
        <v>Адрес объекта (индекс, город (населенный пункт), улица, дом (корпус, строение), офис</v>
      </c>
      <c r="C3" s="431"/>
      <c r="D3" s="431"/>
      <c r="E3" s="432">
        <f>Калькуляция!C6</f>
        <v>0</v>
      </c>
      <c r="F3" s="432"/>
      <c r="G3" s="432"/>
      <c r="H3" s="432"/>
      <c r="I3" s="433"/>
    </row>
    <row r="5" spans="2:9" s="200" customFormat="1" x14ac:dyDescent="0.25">
      <c r="B5" s="198" t="s">
        <v>317</v>
      </c>
      <c r="C5" s="198"/>
      <c r="D5" s="199"/>
      <c r="E5" s="199"/>
      <c r="F5" s="199"/>
    </row>
    <row r="6" spans="2:9" ht="23.1" customHeight="1" thickBot="1" x14ac:dyDescent="0.3">
      <c r="B6" s="201"/>
      <c r="C6" s="201"/>
      <c r="D6" s="202"/>
      <c r="E6" s="202"/>
      <c r="F6" s="202"/>
    </row>
    <row r="7" spans="2:9" s="204" customFormat="1" ht="27.6" customHeight="1" x14ac:dyDescent="0.25">
      <c r="B7" s="440" t="s">
        <v>259</v>
      </c>
      <c r="C7" s="442" t="s">
        <v>300</v>
      </c>
      <c r="D7" s="442" t="s">
        <v>318</v>
      </c>
      <c r="E7" s="444" t="s">
        <v>303</v>
      </c>
      <c r="F7" s="445"/>
    </row>
    <row r="8" spans="2:9" ht="23.45" customHeight="1" x14ac:dyDescent="0.25">
      <c r="B8" s="441"/>
      <c r="C8" s="443"/>
      <c r="D8" s="443"/>
      <c r="E8" s="206" t="s">
        <v>264</v>
      </c>
      <c r="F8" s="207" t="s">
        <v>265</v>
      </c>
    </row>
    <row r="9" spans="2:9" x14ac:dyDescent="0.25">
      <c r="B9" s="222">
        <f>Тарификатор!B3</f>
        <v>0</v>
      </c>
      <c r="C9" s="218" t="str">
        <f>IF('Расчет ФОТ'!Z9&gt;0,'Расчет ФОТ'!Z9,"")</f>
        <v/>
      </c>
      <c r="D9" s="218" t="str">
        <f>IF(E9="","",E9-C9)</f>
        <v/>
      </c>
      <c r="E9" s="218" t="str">
        <f>IF(Тарификатор!C3&gt;0,Тарификатор!C3,"")</f>
        <v/>
      </c>
      <c r="F9" s="220" t="str">
        <f>IF(Тарификатор!D3&gt;0,Тарификатор!D3,"")</f>
        <v/>
      </c>
    </row>
    <row r="10" spans="2:9" x14ac:dyDescent="0.25">
      <c r="B10" s="222">
        <f>Тарификатор!B4</f>
        <v>0</v>
      </c>
      <c r="C10" s="218" t="str">
        <f>IF('Расчет ФОТ'!Z10&gt;0,'Расчет ФОТ'!Z10,"")</f>
        <v/>
      </c>
      <c r="D10" s="218" t="str">
        <f t="shared" ref="D10:D43" si="0">IF(E10="","",E10-C10)</f>
        <v/>
      </c>
      <c r="E10" s="218" t="str">
        <f>IF(Тарификатор!C4&gt;0,Тарификатор!C4,"")</f>
        <v/>
      </c>
      <c r="F10" s="220" t="str">
        <f>IF(Тарификатор!D4&gt;0,Тарификатор!D4,"")</f>
        <v/>
      </c>
    </row>
    <row r="11" spans="2:9" x14ac:dyDescent="0.25">
      <c r="B11" s="222">
        <f>Тарификатор!B5</f>
        <v>0</v>
      </c>
      <c r="C11" s="218" t="str">
        <f>IF('Расчет ФОТ'!Z11&gt;0,'Расчет ФОТ'!Z11,"")</f>
        <v/>
      </c>
      <c r="D11" s="218" t="str">
        <f t="shared" si="0"/>
        <v/>
      </c>
      <c r="E11" s="218" t="str">
        <f>IF(Тарификатор!C5&gt;0,Тарификатор!C5,"")</f>
        <v/>
      </c>
      <c r="F11" s="220" t="str">
        <f>IF(Тарификатор!D5&gt;0,Тарификатор!D5,"")</f>
        <v/>
      </c>
    </row>
    <row r="12" spans="2:9" x14ac:dyDescent="0.25">
      <c r="B12" s="222">
        <f>Тарификатор!B6</f>
        <v>0</v>
      </c>
      <c r="C12" s="218" t="str">
        <f>IF('Расчет ФОТ'!Z12&gt;0,'Расчет ФОТ'!Z12,"")</f>
        <v/>
      </c>
      <c r="D12" s="218" t="str">
        <f t="shared" si="0"/>
        <v/>
      </c>
      <c r="E12" s="218" t="str">
        <f>IF(Тарификатор!C6&gt;0,Тарификатор!C6,"")</f>
        <v/>
      </c>
      <c r="F12" s="220" t="str">
        <f>IF(Тарификатор!D6&gt;0,Тарификатор!D6,"")</f>
        <v/>
      </c>
    </row>
    <row r="13" spans="2:9" x14ac:dyDescent="0.25">
      <c r="B13" s="222">
        <f>Тарификатор!B7</f>
        <v>0</v>
      </c>
      <c r="C13" s="218" t="str">
        <f>IF('Расчет ФОТ'!Z13&gt;0,'Расчет ФОТ'!Z13,"")</f>
        <v/>
      </c>
      <c r="D13" s="218" t="str">
        <f t="shared" si="0"/>
        <v/>
      </c>
      <c r="E13" s="218" t="str">
        <f>IF(Тарификатор!C7&gt;0,Тарификатор!C7,"")</f>
        <v/>
      </c>
      <c r="F13" s="220" t="str">
        <f>IF(Тарификатор!D7&gt;0,Тарификатор!D7,"")</f>
        <v/>
      </c>
    </row>
    <row r="14" spans="2:9" x14ac:dyDescent="0.25">
      <c r="B14" s="222">
        <f>Тарификатор!B8</f>
        <v>0</v>
      </c>
      <c r="C14" s="218" t="str">
        <f>IF('Расчет ФОТ'!Z14&gt;0,'Расчет ФОТ'!Z14,"")</f>
        <v/>
      </c>
      <c r="D14" s="218" t="str">
        <f t="shared" si="0"/>
        <v/>
      </c>
      <c r="E14" s="218" t="str">
        <f>IF(Тарификатор!C8&gt;0,Тарификатор!C8,"")</f>
        <v/>
      </c>
      <c r="F14" s="220" t="str">
        <f>IF(Тарификатор!D8&gt;0,Тарификатор!D8,"")</f>
        <v/>
      </c>
    </row>
    <row r="15" spans="2:9" x14ac:dyDescent="0.25">
      <c r="B15" s="222">
        <f>Тарификатор!B9</f>
        <v>0</v>
      </c>
      <c r="C15" s="218" t="str">
        <f>IF('Расчет ФОТ'!Z15&gt;0,'Расчет ФОТ'!Z15,"")</f>
        <v/>
      </c>
      <c r="D15" s="218" t="str">
        <f t="shared" si="0"/>
        <v/>
      </c>
      <c r="E15" s="218" t="str">
        <f>IF(Тарификатор!C9&gt;0,Тарификатор!C9,"")</f>
        <v/>
      </c>
      <c r="F15" s="220" t="str">
        <f>IF(Тарификатор!D9&gt;0,Тарификатор!D9,"")</f>
        <v/>
      </c>
    </row>
    <row r="16" spans="2:9" x14ac:dyDescent="0.25">
      <c r="B16" s="222">
        <f>Тарификатор!B10</f>
        <v>0</v>
      </c>
      <c r="C16" s="218" t="str">
        <f>IF('Расчет ФОТ'!Z16&gt;0,'Расчет ФОТ'!Z16,"")</f>
        <v/>
      </c>
      <c r="D16" s="218" t="str">
        <f t="shared" si="0"/>
        <v/>
      </c>
      <c r="E16" s="218" t="str">
        <f>IF(Тарификатор!C10&gt;0,Тарификатор!C10,"")</f>
        <v/>
      </c>
      <c r="F16" s="220" t="str">
        <f>IF(Тарификатор!D10&gt;0,Тарификатор!D10,"")</f>
        <v/>
      </c>
    </row>
    <row r="17" spans="2:6" x14ac:dyDescent="0.25">
      <c r="B17" s="222">
        <f>Тарификатор!B11</f>
        <v>0</v>
      </c>
      <c r="C17" s="218" t="str">
        <f>IF('Расчет ФОТ'!Z17&gt;0,'Расчет ФОТ'!Z17,"")</f>
        <v/>
      </c>
      <c r="D17" s="218" t="str">
        <f t="shared" si="0"/>
        <v/>
      </c>
      <c r="E17" s="218" t="str">
        <f>IF(Тарификатор!C11&gt;0,Тарификатор!C11,"")</f>
        <v/>
      </c>
      <c r="F17" s="220" t="str">
        <f>IF(Тарификатор!D11&gt;0,Тарификатор!D11,"")</f>
        <v/>
      </c>
    </row>
    <row r="18" spans="2:6" x14ac:dyDescent="0.25">
      <c r="B18" s="222">
        <f>Тарификатор!B12</f>
        <v>0</v>
      </c>
      <c r="C18" s="218" t="str">
        <f>IF('Расчет ФОТ'!Z18&gt;0,'Расчет ФОТ'!Z18,"")</f>
        <v/>
      </c>
      <c r="D18" s="218" t="str">
        <f t="shared" si="0"/>
        <v/>
      </c>
      <c r="E18" s="218" t="str">
        <f>IF(Тарификатор!C12&gt;0,Тарификатор!C12,"")</f>
        <v/>
      </c>
      <c r="F18" s="220" t="str">
        <f>IF(Тарификатор!D12&gt;0,Тарификатор!D12,"")</f>
        <v/>
      </c>
    </row>
    <row r="19" spans="2:6" x14ac:dyDescent="0.25">
      <c r="B19" s="222">
        <f>Тарификатор!B13</f>
        <v>0</v>
      </c>
      <c r="C19" s="218" t="str">
        <f>IF('Расчет ФОТ'!Z19&gt;0,'Расчет ФОТ'!Z19,"")</f>
        <v/>
      </c>
      <c r="D19" s="218" t="str">
        <f t="shared" si="0"/>
        <v/>
      </c>
      <c r="E19" s="218" t="str">
        <f>IF(Тарификатор!C13&gt;0,Тарификатор!C13,"")</f>
        <v/>
      </c>
      <c r="F19" s="220" t="str">
        <f>IF(Тарификатор!D13&gt;0,Тарификатор!D13,"")</f>
        <v/>
      </c>
    </row>
    <row r="20" spans="2:6" x14ac:dyDescent="0.25">
      <c r="B20" s="222">
        <f>Тарификатор!B14</f>
        <v>0</v>
      </c>
      <c r="C20" s="218" t="str">
        <f>IF('Расчет ФОТ'!Z20&gt;0,'Расчет ФОТ'!Z20,"")</f>
        <v/>
      </c>
      <c r="D20" s="218" t="str">
        <f t="shared" si="0"/>
        <v/>
      </c>
      <c r="E20" s="218" t="str">
        <f>IF(Тарификатор!C14&gt;0,Тарификатор!C14,"")</f>
        <v/>
      </c>
      <c r="F20" s="220" t="str">
        <f>IF(Тарификатор!D14&gt;0,Тарификатор!D14,"")</f>
        <v/>
      </c>
    </row>
    <row r="21" spans="2:6" x14ac:dyDescent="0.25">
      <c r="B21" s="222">
        <f>Тарификатор!B15</f>
        <v>0</v>
      </c>
      <c r="C21" s="218" t="str">
        <f>IF('Расчет ФОТ'!Z21&gt;0,'Расчет ФОТ'!Z21,"")</f>
        <v/>
      </c>
      <c r="D21" s="218" t="str">
        <f t="shared" si="0"/>
        <v/>
      </c>
      <c r="E21" s="218" t="str">
        <f>IF(Тарификатор!C15&gt;0,Тарификатор!C15,"")</f>
        <v/>
      </c>
      <c r="F21" s="220" t="str">
        <f>IF(Тарификатор!D15&gt;0,Тарификатор!D15,"")</f>
        <v/>
      </c>
    </row>
    <row r="22" spans="2:6" x14ac:dyDescent="0.25">
      <c r="B22" s="222">
        <f>Тарификатор!B16</f>
        <v>0</v>
      </c>
      <c r="C22" s="218" t="str">
        <f>IF('Расчет ФОТ'!Z22&gt;0,'Расчет ФОТ'!Z22,"")</f>
        <v/>
      </c>
      <c r="D22" s="218" t="str">
        <f t="shared" si="0"/>
        <v/>
      </c>
      <c r="E22" s="218" t="str">
        <f>IF(Тарификатор!C16&gt;0,Тарификатор!C16,"")</f>
        <v/>
      </c>
      <c r="F22" s="220" t="str">
        <f>IF(Тарификатор!D16&gt;0,Тарификатор!D16,"")</f>
        <v/>
      </c>
    </row>
    <row r="23" spans="2:6" x14ac:dyDescent="0.25">
      <c r="B23" s="222">
        <f>Тарификатор!B17</f>
        <v>0</v>
      </c>
      <c r="C23" s="218" t="str">
        <f>IF('Расчет ФОТ'!Z23&gt;0,'Расчет ФОТ'!Z23,"")</f>
        <v/>
      </c>
      <c r="D23" s="218" t="str">
        <f t="shared" si="0"/>
        <v/>
      </c>
      <c r="E23" s="218" t="str">
        <f>IF(Тарификатор!C17&gt;0,Тарификатор!C17,"")</f>
        <v/>
      </c>
      <c r="F23" s="220" t="str">
        <f>IF(Тарификатор!D17&gt;0,Тарификатор!D17,"")</f>
        <v/>
      </c>
    </row>
    <row r="24" spans="2:6" x14ac:dyDescent="0.25">
      <c r="B24" s="222">
        <f>Тарификатор!B18</f>
        <v>0</v>
      </c>
      <c r="C24" s="218" t="str">
        <f>IF('Расчет ФОТ'!Z24&gt;0,'Расчет ФОТ'!Z24,"")</f>
        <v/>
      </c>
      <c r="D24" s="218" t="str">
        <f t="shared" si="0"/>
        <v/>
      </c>
      <c r="E24" s="218" t="str">
        <f>IF(Тарификатор!C18&gt;0,Тарификатор!C18,"")</f>
        <v/>
      </c>
      <c r="F24" s="220" t="str">
        <f>IF(Тарификатор!D18&gt;0,Тарификатор!D18,"")</f>
        <v/>
      </c>
    </row>
    <row r="25" spans="2:6" x14ac:dyDescent="0.25">
      <c r="B25" s="222">
        <f>Тарификатор!B19</f>
        <v>0</v>
      </c>
      <c r="C25" s="218" t="str">
        <f>IF('Расчет ФОТ'!Z25&gt;0,'Расчет ФОТ'!Z25,"")</f>
        <v/>
      </c>
      <c r="D25" s="218" t="str">
        <f t="shared" si="0"/>
        <v/>
      </c>
      <c r="E25" s="218" t="str">
        <f>IF(Тарификатор!C19&gt;0,Тарификатор!C19,"")</f>
        <v/>
      </c>
      <c r="F25" s="220" t="str">
        <f>IF(Тарификатор!D19&gt;0,Тарификатор!D19,"")</f>
        <v/>
      </c>
    </row>
    <row r="26" spans="2:6" x14ac:dyDescent="0.25">
      <c r="B26" s="222">
        <f>Тарификатор!B20</f>
        <v>0</v>
      </c>
      <c r="C26" s="218" t="str">
        <f>IF('Расчет ФОТ'!Z26&gt;0,'Расчет ФОТ'!Z26,"")</f>
        <v/>
      </c>
      <c r="D26" s="218" t="str">
        <f t="shared" ref="D26:D40" si="1">IF(E26="","",E26-C26)</f>
        <v/>
      </c>
      <c r="E26" s="218" t="str">
        <f>IF(Тарификатор!C20&gt;0,Тарификатор!C20,"")</f>
        <v/>
      </c>
      <c r="F26" s="220" t="str">
        <f>IF(Тарификатор!D20&gt;0,Тарификатор!D20,"")</f>
        <v/>
      </c>
    </row>
    <row r="27" spans="2:6" x14ac:dyDescent="0.25">
      <c r="B27" s="222">
        <f>Тарификатор!B21</f>
        <v>0</v>
      </c>
      <c r="C27" s="218" t="str">
        <f>IF('Расчет ФОТ'!Z27&gt;0,'Расчет ФОТ'!Z27,"")</f>
        <v/>
      </c>
      <c r="D27" s="218" t="str">
        <f t="shared" si="1"/>
        <v/>
      </c>
      <c r="E27" s="218" t="str">
        <f>IF(Тарификатор!C21&gt;0,Тарификатор!C21,"")</f>
        <v/>
      </c>
      <c r="F27" s="220" t="str">
        <f>IF(Тарификатор!D21&gt;0,Тарификатор!D21,"")</f>
        <v/>
      </c>
    </row>
    <row r="28" spans="2:6" x14ac:dyDescent="0.25">
      <c r="B28" s="222">
        <f>Тарификатор!B22</f>
        <v>0</v>
      </c>
      <c r="C28" s="218" t="str">
        <f>IF('Расчет ФОТ'!Z28&gt;0,'Расчет ФОТ'!Z28,"")</f>
        <v/>
      </c>
      <c r="D28" s="218" t="str">
        <f t="shared" si="1"/>
        <v/>
      </c>
      <c r="E28" s="218" t="str">
        <f>IF(Тарификатор!C22&gt;0,Тарификатор!C22,"")</f>
        <v/>
      </c>
      <c r="F28" s="220" t="str">
        <f>IF(Тарификатор!D22&gt;0,Тарификатор!D22,"")</f>
        <v/>
      </c>
    </row>
    <row r="29" spans="2:6" x14ac:dyDescent="0.25">
      <c r="B29" s="222">
        <f>Тарификатор!B23</f>
        <v>0</v>
      </c>
      <c r="C29" s="218" t="str">
        <f>IF('Расчет ФОТ'!Z29&gt;0,'Расчет ФОТ'!Z29,"")</f>
        <v/>
      </c>
      <c r="D29" s="218" t="str">
        <f t="shared" si="1"/>
        <v/>
      </c>
      <c r="E29" s="218" t="str">
        <f>IF(Тарификатор!C23&gt;0,Тарификатор!C23,"")</f>
        <v/>
      </c>
      <c r="F29" s="220" t="str">
        <f>IF(Тарификатор!D23&gt;0,Тарификатор!D23,"")</f>
        <v/>
      </c>
    </row>
    <row r="30" spans="2:6" x14ac:dyDescent="0.25">
      <c r="B30" s="222">
        <f>Тарификатор!B24</f>
        <v>0</v>
      </c>
      <c r="C30" s="218" t="str">
        <f>IF('Расчет ФОТ'!Z30&gt;0,'Расчет ФОТ'!Z30,"")</f>
        <v/>
      </c>
      <c r="D30" s="218" t="str">
        <f t="shared" si="1"/>
        <v/>
      </c>
      <c r="E30" s="218" t="str">
        <f>IF(Тарификатор!C24&gt;0,Тарификатор!C24,"")</f>
        <v/>
      </c>
      <c r="F30" s="220" t="str">
        <f>IF(Тарификатор!D24&gt;0,Тарификатор!D24,"")</f>
        <v/>
      </c>
    </row>
    <row r="31" spans="2:6" x14ac:dyDescent="0.25">
      <c r="B31" s="222">
        <f>Тарификатор!B25</f>
        <v>0</v>
      </c>
      <c r="C31" s="218" t="str">
        <f>IF('Расчет ФОТ'!Z31&gt;0,'Расчет ФОТ'!Z31,"")</f>
        <v/>
      </c>
      <c r="D31" s="218" t="str">
        <f t="shared" si="1"/>
        <v/>
      </c>
      <c r="E31" s="218" t="str">
        <f>IF(Тарификатор!C25&gt;0,Тарификатор!C25,"")</f>
        <v/>
      </c>
      <c r="F31" s="220" t="str">
        <f>IF(Тарификатор!D25&gt;0,Тарификатор!D25,"")</f>
        <v/>
      </c>
    </row>
    <row r="32" spans="2:6" x14ac:dyDescent="0.25">
      <c r="B32" s="222">
        <f>Тарификатор!B26</f>
        <v>0</v>
      </c>
      <c r="C32" s="218" t="str">
        <f>IF('Расчет ФОТ'!Z32&gt;0,'Расчет ФОТ'!Z32,"")</f>
        <v/>
      </c>
      <c r="D32" s="218" t="str">
        <f t="shared" si="1"/>
        <v/>
      </c>
      <c r="E32" s="218" t="str">
        <f>IF(Тарификатор!C26&gt;0,Тарификатор!C26,"")</f>
        <v/>
      </c>
      <c r="F32" s="220" t="str">
        <f>IF(Тарификатор!D26&gt;0,Тарификатор!D26,"")</f>
        <v/>
      </c>
    </row>
    <row r="33" spans="2:6" x14ac:dyDescent="0.25">
      <c r="B33" s="222">
        <f>Тарификатор!B27</f>
        <v>0</v>
      </c>
      <c r="C33" s="218" t="str">
        <f>IF('Расчет ФОТ'!Z33&gt;0,'Расчет ФОТ'!Z33,"")</f>
        <v/>
      </c>
      <c r="D33" s="218" t="str">
        <f t="shared" si="1"/>
        <v/>
      </c>
      <c r="E33" s="218" t="str">
        <f>IF(Тарификатор!C27&gt;0,Тарификатор!C27,"")</f>
        <v/>
      </c>
      <c r="F33" s="220" t="str">
        <f>IF(Тарификатор!D27&gt;0,Тарификатор!D27,"")</f>
        <v/>
      </c>
    </row>
    <row r="34" spans="2:6" x14ac:dyDescent="0.25">
      <c r="B34" s="222">
        <f>Тарификатор!B28</f>
        <v>0</v>
      </c>
      <c r="C34" s="218" t="str">
        <f>IF('Расчет ФОТ'!Z34&gt;0,'Расчет ФОТ'!Z34,"")</f>
        <v/>
      </c>
      <c r="D34" s="218" t="str">
        <f t="shared" si="1"/>
        <v/>
      </c>
      <c r="E34" s="218" t="str">
        <f>IF(Тарификатор!C28&gt;0,Тарификатор!C28,"")</f>
        <v/>
      </c>
      <c r="F34" s="220" t="str">
        <f>IF(Тарификатор!D28&gt;0,Тарификатор!D28,"")</f>
        <v/>
      </c>
    </row>
    <row r="35" spans="2:6" x14ac:dyDescent="0.25">
      <c r="B35" s="222">
        <f>Тарификатор!B29</f>
        <v>0</v>
      </c>
      <c r="C35" s="218" t="str">
        <f>IF('Расчет ФОТ'!Z35&gt;0,'Расчет ФОТ'!Z35,"")</f>
        <v/>
      </c>
      <c r="D35" s="218" t="str">
        <f t="shared" si="1"/>
        <v/>
      </c>
      <c r="E35" s="218" t="str">
        <f>IF(Тарификатор!C29&gt;0,Тарификатор!C29,"")</f>
        <v/>
      </c>
      <c r="F35" s="220" t="str">
        <f>IF(Тарификатор!D29&gt;0,Тарификатор!D29,"")</f>
        <v/>
      </c>
    </row>
    <row r="36" spans="2:6" x14ac:dyDescent="0.25">
      <c r="B36" s="222">
        <f>Тарификатор!B30</f>
        <v>0</v>
      </c>
      <c r="C36" s="218" t="str">
        <f>IF('Расчет ФОТ'!Z36&gt;0,'Расчет ФОТ'!Z36,"")</f>
        <v/>
      </c>
      <c r="D36" s="218" t="str">
        <f t="shared" si="1"/>
        <v/>
      </c>
      <c r="E36" s="218" t="str">
        <f>IF(Тарификатор!C30&gt;0,Тарификатор!C30,"")</f>
        <v/>
      </c>
      <c r="F36" s="220" t="str">
        <f>IF(Тарификатор!D30&gt;0,Тарификатор!D30,"")</f>
        <v/>
      </c>
    </row>
    <row r="37" spans="2:6" x14ac:dyDescent="0.25">
      <c r="B37" s="222">
        <f>Тарификатор!B31</f>
        <v>0</v>
      </c>
      <c r="C37" s="218" t="str">
        <f>IF('Расчет ФОТ'!Z37&gt;0,'Расчет ФОТ'!Z37,"")</f>
        <v/>
      </c>
      <c r="D37" s="218" t="str">
        <f t="shared" si="1"/>
        <v/>
      </c>
      <c r="E37" s="218" t="str">
        <f>IF(Тарификатор!C31&gt;0,Тарификатор!C31,"")</f>
        <v/>
      </c>
      <c r="F37" s="220" t="str">
        <f>IF(Тарификатор!D31&gt;0,Тарификатор!D31,"")</f>
        <v/>
      </c>
    </row>
    <row r="38" spans="2:6" x14ac:dyDescent="0.25">
      <c r="B38" s="222">
        <f>Тарификатор!B32</f>
        <v>0</v>
      </c>
      <c r="C38" s="218" t="str">
        <f>IF('Расчет ФОТ'!Z38&gt;0,'Расчет ФОТ'!Z38,"")</f>
        <v/>
      </c>
      <c r="D38" s="218" t="str">
        <f t="shared" si="1"/>
        <v/>
      </c>
      <c r="E38" s="218" t="str">
        <f>IF(Тарификатор!C32&gt;0,Тарификатор!C32,"")</f>
        <v/>
      </c>
      <c r="F38" s="220" t="str">
        <f>IF(Тарификатор!D32&gt;0,Тарификатор!D32,"")</f>
        <v/>
      </c>
    </row>
    <row r="39" spans="2:6" x14ac:dyDescent="0.25">
      <c r="B39" s="222">
        <f>Тарификатор!B33</f>
        <v>0</v>
      </c>
      <c r="C39" s="218" t="str">
        <f>IF('Расчет ФОТ'!Z39&gt;0,'Расчет ФОТ'!Z39,"")</f>
        <v/>
      </c>
      <c r="D39" s="218" t="str">
        <f t="shared" si="1"/>
        <v/>
      </c>
      <c r="E39" s="218" t="str">
        <f>IF(Тарификатор!C33&gt;0,Тарификатор!C33,"")</f>
        <v/>
      </c>
      <c r="F39" s="220" t="str">
        <f>IF(Тарификатор!D33&gt;0,Тарификатор!D33,"")</f>
        <v/>
      </c>
    </row>
    <row r="40" spans="2:6" x14ac:dyDescent="0.25">
      <c r="B40" s="222">
        <f>Тарификатор!B34</f>
        <v>0</v>
      </c>
      <c r="C40" s="218" t="str">
        <f>IF('Расчет ФОТ'!Z40&gt;0,'Расчет ФОТ'!Z40,"")</f>
        <v/>
      </c>
      <c r="D40" s="218" t="str">
        <f t="shared" si="1"/>
        <v/>
      </c>
      <c r="E40" s="218" t="str">
        <f>IF(Тарификатор!C34&gt;0,Тарификатор!C34,"")</f>
        <v/>
      </c>
      <c r="F40" s="220" t="str">
        <f>IF(Тарификатор!D34&gt;0,Тарификатор!D34,"")</f>
        <v/>
      </c>
    </row>
    <row r="41" spans="2:6" x14ac:dyDescent="0.25">
      <c r="B41" s="222">
        <f>Тарификатор!B35</f>
        <v>0</v>
      </c>
      <c r="C41" s="218" t="str">
        <f>IF('Расчет ФОТ'!Z41&gt;0,'Расчет ФОТ'!Z41,"")</f>
        <v/>
      </c>
      <c r="D41" s="218" t="str">
        <f t="shared" si="0"/>
        <v/>
      </c>
      <c r="E41" s="218" t="str">
        <f>IF(Тарификатор!C35&gt;0,Тарификатор!C35,"")</f>
        <v/>
      </c>
      <c r="F41" s="220" t="str">
        <f>IF(Тарификатор!D35&gt;0,Тарификатор!D35,"")</f>
        <v/>
      </c>
    </row>
    <row r="42" spans="2:6" x14ac:dyDescent="0.25">
      <c r="B42" s="222">
        <f>Тарификатор!B36</f>
        <v>0</v>
      </c>
      <c r="C42" s="218" t="str">
        <f>IF('Расчет ФОТ'!Z42&gt;0,'Расчет ФОТ'!Z42,"")</f>
        <v/>
      </c>
      <c r="D42" s="218" t="str">
        <f t="shared" si="0"/>
        <v/>
      </c>
      <c r="E42" s="218" t="str">
        <f>IF(Тарификатор!C36&gt;0,Тарификатор!C36,"")</f>
        <v/>
      </c>
      <c r="F42" s="220" t="str">
        <f>IF(Тарификатор!D36&gt;0,Тарификатор!D36,"")</f>
        <v/>
      </c>
    </row>
    <row r="43" spans="2:6" ht="15.75" thickBot="1" x14ac:dyDescent="0.3">
      <c r="B43" s="223">
        <f>Тарификатор!B37</f>
        <v>0</v>
      </c>
      <c r="C43" s="219" t="str">
        <f>IF('Расчет ФОТ'!Z43&gt;0,'Расчет ФОТ'!Z43,"")</f>
        <v/>
      </c>
      <c r="D43" s="210" t="str">
        <f t="shared" si="0"/>
        <v/>
      </c>
      <c r="E43" s="219" t="str">
        <f>IF(Тарификатор!C37&gt;0,Тарификатор!C37,"")</f>
        <v/>
      </c>
      <c r="F43" s="221" t="str">
        <f>IF(Тарификатор!D37&gt;0,Тарификатор!D37,"")</f>
        <v/>
      </c>
    </row>
    <row r="44" spans="2:6" x14ac:dyDescent="0.25">
      <c r="B44" s="202"/>
      <c r="C44" s="202"/>
      <c r="D44" s="202"/>
      <c r="E44" s="202"/>
      <c r="F44" s="202"/>
    </row>
    <row r="45" spans="2:6" x14ac:dyDescent="0.25">
      <c r="B45" s="436" t="s">
        <v>319</v>
      </c>
      <c r="C45" s="436"/>
      <c r="D45" s="436"/>
      <c r="E45" s="202"/>
      <c r="F45" s="202"/>
    </row>
    <row r="46" spans="2:6" x14ac:dyDescent="0.25">
      <c r="B46" s="436"/>
      <c r="C46" s="436"/>
      <c r="D46" s="436"/>
      <c r="E46" s="202"/>
      <c r="F46" s="202"/>
    </row>
    <row r="47" spans="2:6" x14ac:dyDescent="0.25">
      <c r="B47" s="230"/>
      <c r="C47" s="230"/>
      <c r="D47" s="230"/>
      <c r="E47" s="202"/>
      <c r="F47" s="202"/>
    </row>
    <row r="48" spans="2:6" x14ac:dyDescent="0.25">
      <c r="B48" s="198" t="s">
        <v>299</v>
      </c>
      <c r="C48" s="198"/>
      <c r="D48" s="198"/>
      <c r="E48" s="198"/>
      <c r="F48" s="200"/>
    </row>
    <row r="49" spans="2:6" ht="15.75" thickBot="1" x14ac:dyDescent="0.3">
      <c r="B49" s="203"/>
      <c r="C49" s="203"/>
      <c r="D49" s="203"/>
      <c r="E49" s="203"/>
    </row>
    <row r="50" spans="2:6" ht="57" x14ac:dyDescent="0.25">
      <c r="B50" s="211" t="s">
        <v>17</v>
      </c>
      <c r="C50" s="231" t="s">
        <v>298</v>
      </c>
      <c r="D50" s="232" t="s">
        <v>321</v>
      </c>
      <c r="E50" s="212" t="s">
        <v>302</v>
      </c>
      <c r="F50" s="204"/>
    </row>
    <row r="51" spans="2:6" ht="15.75" x14ac:dyDescent="0.25">
      <c r="B51" s="208" t="s">
        <v>301</v>
      </c>
      <c r="C51" s="326">
        <f>Калькуляция!G12</f>
        <v>0</v>
      </c>
      <c r="D51" s="326">
        <f>Калькуляция!H12</f>
        <v>0</v>
      </c>
      <c r="E51" s="226" t="str">
        <f>Калькуляция!I12</f>
        <v/>
      </c>
    </row>
    <row r="52" spans="2:6" ht="15.75" x14ac:dyDescent="0.25">
      <c r="B52" s="208" t="s">
        <v>296</v>
      </c>
      <c r="C52" s="326">
        <f>Калькуляция!G13</f>
        <v>0</v>
      </c>
      <c r="D52" s="326">
        <f>Калькуляция!H13</f>
        <v>0</v>
      </c>
      <c r="E52" s="226" t="str">
        <f>Калькуляция!I13</f>
        <v/>
      </c>
    </row>
    <row r="53" spans="2:6" ht="15.75" x14ac:dyDescent="0.25">
      <c r="B53" s="208" t="s">
        <v>8</v>
      </c>
      <c r="C53" s="326">
        <f>Калькуляция!G17</f>
        <v>0</v>
      </c>
      <c r="D53" s="326">
        <f>Калькуляция!H17</f>
        <v>0</v>
      </c>
      <c r="E53" s="226" t="str">
        <f>Калькуляция!I17</f>
        <v/>
      </c>
    </row>
    <row r="54" spans="2:6" ht="15.75" x14ac:dyDescent="0.25">
      <c r="B54" s="208" t="s">
        <v>1</v>
      </c>
      <c r="C54" s="326">
        <f>Калькуляция!G22</f>
        <v>0</v>
      </c>
      <c r="D54" s="326">
        <f>Калькуляция!H22</f>
        <v>0</v>
      </c>
      <c r="E54" s="226" t="str">
        <f>Калькуляция!I22</f>
        <v/>
      </c>
    </row>
    <row r="55" spans="2:6" ht="15.75" x14ac:dyDescent="0.25">
      <c r="B55" s="208" t="s">
        <v>2</v>
      </c>
      <c r="C55" s="326">
        <f>Калькуляция!G31</f>
        <v>0</v>
      </c>
      <c r="D55" s="326">
        <f>Калькуляция!H31</f>
        <v>0</v>
      </c>
      <c r="E55" s="226" t="str">
        <f>Калькуляция!I31</f>
        <v/>
      </c>
    </row>
    <row r="56" spans="2:6" ht="15.75" x14ac:dyDescent="0.25">
      <c r="B56" s="208" t="s">
        <v>3</v>
      </c>
      <c r="C56" s="326">
        <f>Калькуляция!G40</f>
        <v>0</v>
      </c>
      <c r="D56" s="326">
        <f>Калькуляция!H40</f>
        <v>0</v>
      </c>
      <c r="E56" s="226" t="str">
        <f>Калькуляция!I40</f>
        <v/>
      </c>
    </row>
    <row r="57" spans="2:6" ht="15.75" x14ac:dyDescent="0.25">
      <c r="B57" s="208" t="s">
        <v>35</v>
      </c>
      <c r="C57" s="326">
        <f>Калькуляция!G49</f>
        <v>0</v>
      </c>
      <c r="D57" s="326">
        <f>Калькуляция!H49</f>
        <v>0</v>
      </c>
      <c r="E57" s="226" t="str">
        <f>Калькуляция!I49</f>
        <v/>
      </c>
    </row>
    <row r="58" spans="2:6" ht="15.75" x14ac:dyDescent="0.25">
      <c r="B58" s="208" t="s">
        <v>4</v>
      </c>
      <c r="C58" s="326">
        <f>Калькуляция!G50</f>
        <v>0</v>
      </c>
      <c r="D58" s="326">
        <f>Калькуляция!H50</f>
        <v>0</v>
      </c>
      <c r="E58" s="226" t="str">
        <f>Калькуляция!I50</f>
        <v/>
      </c>
    </row>
    <row r="59" spans="2:6" ht="15.75" x14ac:dyDescent="0.25">
      <c r="B59" s="208" t="s">
        <v>12</v>
      </c>
      <c r="C59" s="326">
        <f>SUM(Калькуляция!G56:G63)</f>
        <v>0</v>
      </c>
      <c r="D59" s="326">
        <f>SUM(Калькуляция!H56:H63)</f>
        <v>0</v>
      </c>
      <c r="E59" s="226" t="str">
        <f>IF(Калькуляция!H72=0,"",SUM(Калькуляция!I56:I63))</f>
        <v/>
      </c>
    </row>
    <row r="60" spans="2:6" ht="15.75" x14ac:dyDescent="0.25">
      <c r="B60" s="208" t="s">
        <v>21</v>
      </c>
      <c r="C60" s="326">
        <f>Калькуляция!G65</f>
        <v>0</v>
      </c>
      <c r="D60" s="326">
        <f>Калькуляция!H65</f>
        <v>0</v>
      </c>
      <c r="E60" s="226" t="str">
        <f>Калькуляция!I65</f>
        <v/>
      </c>
    </row>
    <row r="61" spans="2:6" ht="15.75" x14ac:dyDescent="0.25">
      <c r="B61" s="208" t="s">
        <v>295</v>
      </c>
      <c r="C61" s="326">
        <f>Калькуляция!G66</f>
        <v>0</v>
      </c>
      <c r="D61" s="326">
        <f>Калькуляция!H66</f>
        <v>0</v>
      </c>
      <c r="E61" s="226" t="str">
        <f>Калькуляция!I66</f>
        <v/>
      </c>
    </row>
    <row r="62" spans="2:6" ht="15.75" x14ac:dyDescent="0.25">
      <c r="B62" s="208" t="s">
        <v>27</v>
      </c>
      <c r="C62" s="326">
        <f>Калькуляция!G68</f>
        <v>0</v>
      </c>
      <c r="D62" s="326">
        <f>Калькуляция!H68</f>
        <v>0</v>
      </c>
      <c r="E62" s="226" t="str">
        <f>Калькуляция!I68</f>
        <v/>
      </c>
    </row>
    <row r="63" spans="2:6" ht="15.75" x14ac:dyDescent="0.25">
      <c r="B63" s="208" t="s">
        <v>189</v>
      </c>
      <c r="C63" s="326">
        <f>Калькуляция!G69</f>
        <v>0</v>
      </c>
      <c r="D63" s="326">
        <f>Калькуляция!H69</f>
        <v>0</v>
      </c>
      <c r="E63" s="226"/>
    </row>
    <row r="64" spans="2:6" ht="15.75" x14ac:dyDescent="0.25">
      <c r="B64" s="208" t="s">
        <v>20</v>
      </c>
      <c r="C64" s="224">
        <f>Калькуляция!G70</f>
        <v>0</v>
      </c>
      <c r="D64" s="224">
        <f>Калькуляция!H70</f>
        <v>0</v>
      </c>
      <c r="E64" s="226"/>
    </row>
    <row r="65" spans="2:11" ht="15.75" x14ac:dyDescent="0.25">
      <c r="B65" s="208" t="s">
        <v>24</v>
      </c>
      <c r="C65" s="326">
        <f>Калькуляция!G71</f>
        <v>0</v>
      </c>
      <c r="D65" s="326">
        <f>Калькуляция!H71</f>
        <v>0</v>
      </c>
      <c r="E65" s="226"/>
    </row>
    <row r="66" spans="2:11" ht="16.5" thickBot="1" x14ac:dyDescent="0.3">
      <c r="B66" s="209" t="s">
        <v>43</v>
      </c>
      <c r="C66" s="225">
        <f>Калькуляция!G72</f>
        <v>0</v>
      </c>
      <c r="D66" s="225">
        <f>Калькуляция!H72</f>
        <v>0</v>
      </c>
      <c r="E66" s="227"/>
    </row>
    <row r="67" spans="2:11" x14ac:dyDescent="0.25">
      <c r="B67" s="203"/>
      <c r="C67" s="203"/>
      <c r="D67" s="203"/>
      <c r="E67" s="203"/>
    </row>
    <row r="68" spans="2:11" x14ac:dyDescent="0.25">
      <c r="B68" s="217" t="s">
        <v>320</v>
      </c>
      <c r="C68" s="217"/>
      <c r="D68" s="217"/>
      <c r="E68" s="217"/>
      <c r="F68" s="202"/>
    </row>
    <row r="70" spans="2:11" s="202" customFormat="1" x14ac:dyDescent="0.25">
      <c r="B70" s="214" t="s">
        <v>297</v>
      </c>
    </row>
    <row r="71" spans="2:11" s="202" customFormat="1" ht="15.75" thickBot="1" x14ac:dyDescent="0.3">
      <c r="B71" s="201"/>
    </row>
    <row r="72" spans="2:11" s="202" customFormat="1" ht="103.35" customHeight="1" x14ac:dyDescent="0.25">
      <c r="B72" s="437" t="s">
        <v>227</v>
      </c>
      <c r="C72" s="438"/>
      <c r="D72" s="438"/>
      <c r="E72" s="439" t="s">
        <v>310</v>
      </c>
      <c r="F72" s="439"/>
      <c r="G72" s="439"/>
      <c r="H72" s="442" t="s">
        <v>322</v>
      </c>
      <c r="I72" s="434" t="s">
        <v>316</v>
      </c>
    </row>
    <row r="73" spans="2:11" s="327" customFormat="1" ht="14.45" customHeight="1" x14ac:dyDescent="0.25">
      <c r="B73" s="216" t="s">
        <v>257</v>
      </c>
      <c r="C73" s="205" t="s">
        <v>28</v>
      </c>
      <c r="D73" s="205" t="s">
        <v>311</v>
      </c>
      <c r="E73" s="205" t="s">
        <v>235</v>
      </c>
      <c r="F73" s="205" t="s">
        <v>236</v>
      </c>
      <c r="G73" s="205" t="s">
        <v>304</v>
      </c>
      <c r="H73" s="443"/>
      <c r="I73" s="435"/>
    </row>
    <row r="74" spans="2:11" s="202" customFormat="1" x14ac:dyDescent="0.25">
      <c r="B74" s="228">
        <f>'Расчет ФОТ'!B9</f>
        <v>0</v>
      </c>
      <c r="C74" s="326">
        <f>'Расчет ФОТ'!C9</f>
        <v>0</v>
      </c>
      <c r="D74" s="326">
        <f>'Расчет ФОТ'!J9</f>
        <v>0</v>
      </c>
      <c r="E74" s="326">
        <f>'Расчет ФОТ'!K9</f>
        <v>0</v>
      </c>
      <c r="F74" s="326">
        <f>'Расчет ФОТ'!L9</f>
        <v>0</v>
      </c>
      <c r="G74" s="326">
        <f>'Расчет ФОТ'!M9</f>
        <v>0</v>
      </c>
      <c r="H74" s="326">
        <f>'Расчет ФОТ'!X9-'Расчет ФОТ'!O9</f>
        <v>0</v>
      </c>
      <c r="I74" s="328">
        <f>'Расчет ФОТ'!X9</f>
        <v>0</v>
      </c>
      <c r="K74" s="329"/>
    </row>
    <row r="75" spans="2:11" s="202" customFormat="1" x14ac:dyDescent="0.25">
      <c r="B75" s="228">
        <f>'Расчет ФОТ'!B10</f>
        <v>0</v>
      </c>
      <c r="C75" s="326">
        <f>'Расчет ФОТ'!C10</f>
        <v>0</v>
      </c>
      <c r="D75" s="326">
        <f>'Расчет ФОТ'!J10</f>
        <v>0</v>
      </c>
      <c r="E75" s="326">
        <f>'Расчет ФОТ'!K10</f>
        <v>0</v>
      </c>
      <c r="F75" s="326">
        <f>'Расчет ФОТ'!L10</f>
        <v>0</v>
      </c>
      <c r="G75" s="326">
        <f>'Расчет ФОТ'!M10</f>
        <v>0</v>
      </c>
      <c r="H75" s="326">
        <f>'Расчет ФОТ'!X10-'Расчет ФОТ'!O10</f>
        <v>0</v>
      </c>
      <c r="I75" s="328">
        <f>'Расчет ФОТ'!X10</f>
        <v>0</v>
      </c>
    </row>
    <row r="76" spans="2:11" s="202" customFormat="1" x14ac:dyDescent="0.25">
      <c r="B76" s="228">
        <f>'Расчет ФОТ'!B11</f>
        <v>0</v>
      </c>
      <c r="C76" s="326">
        <f>'Расчет ФОТ'!C11</f>
        <v>0</v>
      </c>
      <c r="D76" s="326">
        <f>'Расчет ФОТ'!J11</f>
        <v>0</v>
      </c>
      <c r="E76" s="326">
        <f>'Расчет ФОТ'!K11</f>
        <v>0</v>
      </c>
      <c r="F76" s="326">
        <f>'Расчет ФОТ'!L11</f>
        <v>0</v>
      </c>
      <c r="G76" s="326">
        <f>'Расчет ФОТ'!M11</f>
        <v>0</v>
      </c>
      <c r="H76" s="326">
        <f>'Расчет ФОТ'!X11-'Расчет ФОТ'!O11</f>
        <v>0</v>
      </c>
      <c r="I76" s="328">
        <f>'Расчет ФОТ'!X11</f>
        <v>0</v>
      </c>
    </row>
    <row r="77" spans="2:11" s="202" customFormat="1" x14ac:dyDescent="0.25">
      <c r="B77" s="228">
        <f>'Расчет ФОТ'!B12</f>
        <v>0</v>
      </c>
      <c r="C77" s="326">
        <f>'Расчет ФОТ'!C12</f>
        <v>0</v>
      </c>
      <c r="D77" s="326">
        <f>'Расчет ФОТ'!J12</f>
        <v>0</v>
      </c>
      <c r="E77" s="326">
        <f>'Расчет ФОТ'!K12</f>
        <v>0</v>
      </c>
      <c r="F77" s="326">
        <f>'Расчет ФОТ'!L12</f>
        <v>0</v>
      </c>
      <c r="G77" s="326">
        <f>'Расчет ФОТ'!M12</f>
        <v>0</v>
      </c>
      <c r="H77" s="326">
        <f>'Расчет ФОТ'!X12-'Расчет ФОТ'!O12</f>
        <v>0</v>
      </c>
      <c r="I77" s="328">
        <f>'Расчет ФОТ'!X12</f>
        <v>0</v>
      </c>
    </row>
    <row r="78" spans="2:11" s="202" customFormat="1" x14ac:dyDescent="0.25">
      <c r="B78" s="228">
        <f>'Расчет ФОТ'!B13</f>
        <v>0</v>
      </c>
      <c r="C78" s="326">
        <f>'Расчет ФОТ'!C13</f>
        <v>0</v>
      </c>
      <c r="D78" s="326">
        <f>'Расчет ФОТ'!J13</f>
        <v>0</v>
      </c>
      <c r="E78" s="326">
        <f>'Расчет ФОТ'!K13</f>
        <v>0</v>
      </c>
      <c r="F78" s="326">
        <f>'Расчет ФОТ'!L13</f>
        <v>0</v>
      </c>
      <c r="G78" s="326">
        <f>'Расчет ФОТ'!M13</f>
        <v>0</v>
      </c>
      <c r="H78" s="326">
        <f>'Расчет ФОТ'!X13-'Расчет ФОТ'!O13</f>
        <v>0</v>
      </c>
      <c r="I78" s="328">
        <f>'Расчет ФОТ'!X13</f>
        <v>0</v>
      </c>
    </row>
    <row r="79" spans="2:11" s="202" customFormat="1" x14ac:dyDescent="0.25">
      <c r="B79" s="228">
        <f>'Расчет ФОТ'!B14</f>
        <v>0</v>
      </c>
      <c r="C79" s="326">
        <f>'Расчет ФОТ'!C14</f>
        <v>0</v>
      </c>
      <c r="D79" s="326">
        <f>'Расчет ФОТ'!J14</f>
        <v>0</v>
      </c>
      <c r="E79" s="326">
        <f>'Расчет ФОТ'!K14</f>
        <v>0</v>
      </c>
      <c r="F79" s="326">
        <f>'Расчет ФОТ'!L14</f>
        <v>0</v>
      </c>
      <c r="G79" s="326">
        <f>'Расчет ФОТ'!M14</f>
        <v>0</v>
      </c>
      <c r="H79" s="326">
        <f>'Расчет ФОТ'!X14-'Расчет ФОТ'!O14</f>
        <v>0</v>
      </c>
      <c r="I79" s="328">
        <f>'Расчет ФОТ'!X14</f>
        <v>0</v>
      </c>
    </row>
    <row r="80" spans="2:11" s="202" customFormat="1" x14ac:dyDescent="0.25">
      <c r="B80" s="228">
        <f>'Расчет ФОТ'!B15</f>
        <v>0</v>
      </c>
      <c r="C80" s="326">
        <f>'Расчет ФОТ'!C15</f>
        <v>0</v>
      </c>
      <c r="D80" s="326">
        <f>'Расчет ФОТ'!J15</f>
        <v>0</v>
      </c>
      <c r="E80" s="326">
        <f>'Расчет ФОТ'!K15</f>
        <v>0</v>
      </c>
      <c r="F80" s="326">
        <f>'Расчет ФОТ'!L15</f>
        <v>0</v>
      </c>
      <c r="G80" s="326">
        <f>'Расчет ФОТ'!M15</f>
        <v>0</v>
      </c>
      <c r="H80" s="326">
        <f>'Расчет ФОТ'!X15-'Расчет ФОТ'!O15</f>
        <v>0</v>
      </c>
      <c r="I80" s="328">
        <f>'Расчет ФОТ'!X15</f>
        <v>0</v>
      </c>
    </row>
    <row r="81" spans="2:9" s="202" customFormat="1" x14ac:dyDescent="0.25">
      <c r="B81" s="228">
        <f>'Расчет ФОТ'!B16</f>
        <v>0</v>
      </c>
      <c r="C81" s="326">
        <f>'Расчет ФОТ'!C16</f>
        <v>0</v>
      </c>
      <c r="D81" s="326">
        <f>'Расчет ФОТ'!J16</f>
        <v>0</v>
      </c>
      <c r="E81" s="326">
        <f>'Расчет ФОТ'!K16</f>
        <v>0</v>
      </c>
      <c r="F81" s="326">
        <f>'Расчет ФОТ'!L16</f>
        <v>0</v>
      </c>
      <c r="G81" s="326">
        <f>'Расчет ФОТ'!M16</f>
        <v>0</v>
      </c>
      <c r="H81" s="326">
        <f>'Расчет ФОТ'!X16-'Расчет ФОТ'!O16</f>
        <v>0</v>
      </c>
      <c r="I81" s="328">
        <f>'Расчет ФОТ'!X16</f>
        <v>0</v>
      </c>
    </row>
    <row r="82" spans="2:9" s="202" customFormat="1" x14ac:dyDescent="0.25">
      <c r="B82" s="228">
        <f>'Расчет ФОТ'!B17</f>
        <v>0</v>
      </c>
      <c r="C82" s="326">
        <f>'Расчет ФОТ'!C17</f>
        <v>0</v>
      </c>
      <c r="D82" s="326">
        <f>'Расчет ФОТ'!J17</f>
        <v>0</v>
      </c>
      <c r="E82" s="326">
        <f>'Расчет ФОТ'!K17</f>
        <v>0</v>
      </c>
      <c r="F82" s="326">
        <f>'Расчет ФОТ'!L17</f>
        <v>0</v>
      </c>
      <c r="G82" s="326">
        <f>'Расчет ФОТ'!M17</f>
        <v>0</v>
      </c>
      <c r="H82" s="326">
        <f>'Расчет ФОТ'!X17-'Расчет ФОТ'!O17</f>
        <v>0</v>
      </c>
      <c r="I82" s="328">
        <f>'Расчет ФОТ'!X17</f>
        <v>0</v>
      </c>
    </row>
    <row r="83" spans="2:9" s="202" customFormat="1" x14ac:dyDescent="0.25">
      <c r="B83" s="228">
        <f>'Расчет ФОТ'!B18</f>
        <v>0</v>
      </c>
      <c r="C83" s="326">
        <f>'Расчет ФОТ'!C18</f>
        <v>0</v>
      </c>
      <c r="D83" s="326">
        <f>'Расчет ФОТ'!J18</f>
        <v>0</v>
      </c>
      <c r="E83" s="326">
        <f>'Расчет ФОТ'!K18</f>
        <v>0</v>
      </c>
      <c r="F83" s="326">
        <f>'Расчет ФОТ'!L18</f>
        <v>0</v>
      </c>
      <c r="G83" s="326">
        <f>'Расчет ФОТ'!M18</f>
        <v>0</v>
      </c>
      <c r="H83" s="326">
        <f>'Расчет ФОТ'!X18-'Расчет ФОТ'!O18</f>
        <v>0</v>
      </c>
      <c r="I83" s="328">
        <f>'Расчет ФОТ'!X18</f>
        <v>0</v>
      </c>
    </row>
    <row r="84" spans="2:9" s="202" customFormat="1" x14ac:dyDescent="0.25">
      <c r="B84" s="228">
        <f>'Расчет ФОТ'!B19</f>
        <v>0</v>
      </c>
      <c r="C84" s="326">
        <f>'Расчет ФОТ'!C19</f>
        <v>0</v>
      </c>
      <c r="D84" s="326">
        <f>'Расчет ФОТ'!J19</f>
        <v>0</v>
      </c>
      <c r="E84" s="326">
        <f>'Расчет ФОТ'!K19</f>
        <v>0</v>
      </c>
      <c r="F84" s="326">
        <f>'Расчет ФОТ'!L19</f>
        <v>0</v>
      </c>
      <c r="G84" s="326">
        <f>'Расчет ФОТ'!M19</f>
        <v>0</v>
      </c>
      <c r="H84" s="326">
        <f>'Расчет ФОТ'!X19-'Расчет ФОТ'!O19</f>
        <v>0</v>
      </c>
      <c r="I84" s="328">
        <f>'Расчет ФОТ'!X19</f>
        <v>0</v>
      </c>
    </row>
    <row r="85" spans="2:9" s="202" customFormat="1" x14ac:dyDescent="0.25">
      <c r="B85" s="228">
        <f>'Расчет ФОТ'!B20</f>
        <v>0</v>
      </c>
      <c r="C85" s="326">
        <f>'Расчет ФОТ'!C20</f>
        <v>0</v>
      </c>
      <c r="D85" s="326">
        <f>'Расчет ФОТ'!J20</f>
        <v>0</v>
      </c>
      <c r="E85" s="326">
        <f>'Расчет ФОТ'!K20</f>
        <v>0</v>
      </c>
      <c r="F85" s="326">
        <f>'Расчет ФОТ'!L20</f>
        <v>0</v>
      </c>
      <c r="G85" s="326">
        <f>'Расчет ФОТ'!M20</f>
        <v>0</v>
      </c>
      <c r="H85" s="326">
        <f>'Расчет ФОТ'!X20-'Расчет ФОТ'!O20</f>
        <v>0</v>
      </c>
      <c r="I85" s="328">
        <f>'Расчет ФОТ'!X20</f>
        <v>0</v>
      </c>
    </row>
    <row r="86" spans="2:9" s="202" customFormat="1" x14ac:dyDescent="0.25">
      <c r="B86" s="228">
        <f>'Расчет ФОТ'!B21</f>
        <v>0</v>
      </c>
      <c r="C86" s="326">
        <f>'Расчет ФОТ'!C21</f>
        <v>0</v>
      </c>
      <c r="D86" s="326">
        <f>'Расчет ФОТ'!J21</f>
        <v>0</v>
      </c>
      <c r="E86" s="326">
        <f>'Расчет ФОТ'!K21</f>
        <v>0</v>
      </c>
      <c r="F86" s="326">
        <f>'Расчет ФОТ'!L21</f>
        <v>0</v>
      </c>
      <c r="G86" s="326">
        <f>'Расчет ФОТ'!M21</f>
        <v>0</v>
      </c>
      <c r="H86" s="326">
        <f>'Расчет ФОТ'!X21-'Расчет ФОТ'!O21</f>
        <v>0</v>
      </c>
      <c r="I86" s="328">
        <f>'Расчет ФОТ'!X21</f>
        <v>0</v>
      </c>
    </row>
    <row r="87" spans="2:9" s="202" customFormat="1" x14ac:dyDescent="0.25">
      <c r="B87" s="228">
        <f>'Расчет ФОТ'!B22</f>
        <v>0</v>
      </c>
      <c r="C87" s="326">
        <f>'Расчет ФОТ'!C22</f>
        <v>0</v>
      </c>
      <c r="D87" s="326">
        <f>'Расчет ФОТ'!J22</f>
        <v>0</v>
      </c>
      <c r="E87" s="326">
        <f>'Расчет ФОТ'!K22</f>
        <v>0</v>
      </c>
      <c r="F87" s="326">
        <f>'Расчет ФОТ'!L22</f>
        <v>0</v>
      </c>
      <c r="G87" s="326">
        <f>'Расчет ФОТ'!M22</f>
        <v>0</v>
      </c>
      <c r="H87" s="326">
        <f>'Расчет ФОТ'!X22-'Расчет ФОТ'!O22</f>
        <v>0</v>
      </c>
      <c r="I87" s="328">
        <f>'Расчет ФОТ'!X22</f>
        <v>0</v>
      </c>
    </row>
    <row r="88" spans="2:9" s="202" customFormat="1" x14ac:dyDescent="0.25">
      <c r="B88" s="228">
        <f>'Расчет ФОТ'!B23</f>
        <v>0</v>
      </c>
      <c r="C88" s="326">
        <f>'Расчет ФОТ'!C23</f>
        <v>0</v>
      </c>
      <c r="D88" s="326">
        <f>'Расчет ФОТ'!J23</f>
        <v>0</v>
      </c>
      <c r="E88" s="326">
        <f>'Расчет ФОТ'!K23</f>
        <v>0</v>
      </c>
      <c r="F88" s="326">
        <f>'Расчет ФОТ'!L23</f>
        <v>0</v>
      </c>
      <c r="G88" s="326">
        <f>'Расчет ФОТ'!M23</f>
        <v>0</v>
      </c>
      <c r="H88" s="326">
        <f>'Расчет ФОТ'!X23-'Расчет ФОТ'!O23</f>
        <v>0</v>
      </c>
      <c r="I88" s="328">
        <f>'Расчет ФОТ'!X23</f>
        <v>0</v>
      </c>
    </row>
    <row r="89" spans="2:9" s="202" customFormat="1" x14ac:dyDescent="0.25">
      <c r="B89" s="228">
        <f>'Расчет ФОТ'!B24</f>
        <v>0</v>
      </c>
      <c r="C89" s="326">
        <f>'Расчет ФОТ'!C24</f>
        <v>0</v>
      </c>
      <c r="D89" s="326">
        <f>'Расчет ФОТ'!J24</f>
        <v>0</v>
      </c>
      <c r="E89" s="326">
        <f>'Расчет ФОТ'!K24</f>
        <v>0</v>
      </c>
      <c r="F89" s="326">
        <f>'Расчет ФОТ'!L24</f>
        <v>0</v>
      </c>
      <c r="G89" s="326">
        <f>'Расчет ФОТ'!M24</f>
        <v>0</v>
      </c>
      <c r="H89" s="326">
        <f>'Расчет ФОТ'!X24-'Расчет ФОТ'!O24</f>
        <v>0</v>
      </c>
      <c r="I89" s="328">
        <f>'Расчет ФОТ'!X24</f>
        <v>0</v>
      </c>
    </row>
    <row r="90" spans="2:9" s="202" customFormat="1" x14ac:dyDescent="0.25">
      <c r="B90" s="228">
        <f>'Расчет ФОТ'!B25</f>
        <v>0</v>
      </c>
      <c r="C90" s="326">
        <f>'Расчет ФОТ'!C25</f>
        <v>0</v>
      </c>
      <c r="D90" s="326">
        <f>'Расчет ФОТ'!J25</f>
        <v>0</v>
      </c>
      <c r="E90" s="326">
        <f>'Расчет ФОТ'!K25</f>
        <v>0</v>
      </c>
      <c r="F90" s="326">
        <f>'Расчет ФОТ'!L25</f>
        <v>0</v>
      </c>
      <c r="G90" s="326">
        <f>'Расчет ФОТ'!M25</f>
        <v>0</v>
      </c>
      <c r="H90" s="326">
        <f>'Расчет ФОТ'!X25-'Расчет ФОТ'!O25</f>
        <v>0</v>
      </c>
      <c r="I90" s="328">
        <f>'Расчет ФОТ'!X25</f>
        <v>0</v>
      </c>
    </row>
    <row r="91" spans="2:9" s="202" customFormat="1" x14ac:dyDescent="0.25">
      <c r="B91" s="228">
        <f>'Расчет ФОТ'!B26</f>
        <v>0</v>
      </c>
      <c r="C91" s="326">
        <f>'Расчет ФОТ'!C26</f>
        <v>0</v>
      </c>
      <c r="D91" s="326">
        <f>'Расчет ФОТ'!J26</f>
        <v>0</v>
      </c>
      <c r="E91" s="326">
        <f>'Расчет ФОТ'!K26</f>
        <v>0</v>
      </c>
      <c r="F91" s="326">
        <f>'Расчет ФОТ'!L26</f>
        <v>0</v>
      </c>
      <c r="G91" s="326">
        <f>'Расчет ФОТ'!M26</f>
        <v>0</v>
      </c>
      <c r="H91" s="326">
        <f>'Расчет ФОТ'!X26-'Расчет ФОТ'!O26</f>
        <v>0</v>
      </c>
      <c r="I91" s="328">
        <f>'Расчет ФОТ'!X26</f>
        <v>0</v>
      </c>
    </row>
    <row r="92" spans="2:9" s="202" customFormat="1" x14ac:dyDescent="0.25">
      <c r="B92" s="228">
        <f>'Расчет ФОТ'!B27</f>
        <v>0</v>
      </c>
      <c r="C92" s="326">
        <f>'Расчет ФОТ'!C27</f>
        <v>0</v>
      </c>
      <c r="D92" s="326">
        <f>'Расчет ФОТ'!J27</f>
        <v>0</v>
      </c>
      <c r="E92" s="326">
        <f>'Расчет ФОТ'!K27</f>
        <v>0</v>
      </c>
      <c r="F92" s="326">
        <f>'Расчет ФОТ'!L27</f>
        <v>0</v>
      </c>
      <c r="G92" s="326">
        <f>'Расчет ФОТ'!M27</f>
        <v>0</v>
      </c>
      <c r="H92" s="326">
        <f>'Расчет ФОТ'!X27-'Расчет ФОТ'!O27</f>
        <v>0</v>
      </c>
      <c r="I92" s="328">
        <f>'Расчет ФОТ'!X27</f>
        <v>0</v>
      </c>
    </row>
    <row r="93" spans="2:9" s="202" customFormat="1" x14ac:dyDescent="0.25">
      <c r="B93" s="228">
        <f>'Расчет ФОТ'!B28</f>
        <v>0</v>
      </c>
      <c r="C93" s="326">
        <f>'Расчет ФОТ'!C28</f>
        <v>0</v>
      </c>
      <c r="D93" s="326">
        <f>'Расчет ФОТ'!J28</f>
        <v>0</v>
      </c>
      <c r="E93" s="326">
        <f>'Расчет ФОТ'!K28</f>
        <v>0</v>
      </c>
      <c r="F93" s="326">
        <f>'Расчет ФОТ'!L28</f>
        <v>0</v>
      </c>
      <c r="G93" s="326">
        <f>'Расчет ФОТ'!M28</f>
        <v>0</v>
      </c>
      <c r="H93" s="326">
        <f>'Расчет ФОТ'!X28-'Расчет ФОТ'!O28</f>
        <v>0</v>
      </c>
      <c r="I93" s="328">
        <f>'Расчет ФОТ'!X28</f>
        <v>0</v>
      </c>
    </row>
    <row r="94" spans="2:9" s="202" customFormat="1" x14ac:dyDescent="0.25">
      <c r="B94" s="228">
        <f>'Расчет ФОТ'!B29</f>
        <v>0</v>
      </c>
      <c r="C94" s="326">
        <f>'Расчет ФОТ'!C29</f>
        <v>0</v>
      </c>
      <c r="D94" s="326">
        <f>'Расчет ФОТ'!J29</f>
        <v>0</v>
      </c>
      <c r="E94" s="326">
        <f>'Расчет ФОТ'!K29</f>
        <v>0</v>
      </c>
      <c r="F94" s="326">
        <f>'Расчет ФОТ'!L29</f>
        <v>0</v>
      </c>
      <c r="G94" s="326">
        <f>'Расчет ФОТ'!M29</f>
        <v>0</v>
      </c>
      <c r="H94" s="326">
        <f>'Расчет ФОТ'!X29-'Расчет ФОТ'!O29</f>
        <v>0</v>
      </c>
      <c r="I94" s="328">
        <f>'Расчет ФОТ'!X29</f>
        <v>0</v>
      </c>
    </row>
    <row r="95" spans="2:9" s="202" customFormat="1" x14ac:dyDescent="0.25">
      <c r="B95" s="228">
        <f>'Расчет ФОТ'!B30</f>
        <v>0</v>
      </c>
      <c r="C95" s="326">
        <f>'Расчет ФОТ'!C30</f>
        <v>0</v>
      </c>
      <c r="D95" s="326">
        <f>'Расчет ФОТ'!J30</f>
        <v>0</v>
      </c>
      <c r="E95" s="326">
        <f>'Расчет ФОТ'!K30</f>
        <v>0</v>
      </c>
      <c r="F95" s="326">
        <f>'Расчет ФОТ'!L30</f>
        <v>0</v>
      </c>
      <c r="G95" s="326">
        <f>'Расчет ФОТ'!M30</f>
        <v>0</v>
      </c>
      <c r="H95" s="326">
        <f>'Расчет ФОТ'!X30-'Расчет ФОТ'!O30</f>
        <v>0</v>
      </c>
      <c r="I95" s="328">
        <f>'Расчет ФОТ'!X30</f>
        <v>0</v>
      </c>
    </row>
    <row r="96" spans="2:9" s="202" customFormat="1" x14ac:dyDescent="0.25">
      <c r="B96" s="228">
        <f>'Расчет ФОТ'!B31</f>
        <v>0</v>
      </c>
      <c r="C96" s="326">
        <f>'Расчет ФОТ'!C31</f>
        <v>0</v>
      </c>
      <c r="D96" s="326">
        <f>'Расчет ФОТ'!J31</f>
        <v>0</v>
      </c>
      <c r="E96" s="326">
        <f>'Расчет ФОТ'!K31</f>
        <v>0</v>
      </c>
      <c r="F96" s="326">
        <f>'Расчет ФОТ'!L31</f>
        <v>0</v>
      </c>
      <c r="G96" s="326">
        <f>'Расчет ФОТ'!M31</f>
        <v>0</v>
      </c>
      <c r="H96" s="326">
        <f>'Расчет ФОТ'!X31-'Расчет ФОТ'!O31</f>
        <v>0</v>
      </c>
      <c r="I96" s="328">
        <f>'Расчет ФОТ'!X31</f>
        <v>0</v>
      </c>
    </row>
    <row r="97" spans="2:9" s="202" customFormat="1" x14ac:dyDescent="0.25">
      <c r="B97" s="228">
        <f>'Расчет ФОТ'!B32</f>
        <v>0</v>
      </c>
      <c r="C97" s="326">
        <f>'Расчет ФОТ'!C32</f>
        <v>0</v>
      </c>
      <c r="D97" s="326">
        <f>'Расчет ФОТ'!J32</f>
        <v>0</v>
      </c>
      <c r="E97" s="326">
        <f>'Расчет ФОТ'!K32</f>
        <v>0</v>
      </c>
      <c r="F97" s="326">
        <f>'Расчет ФОТ'!L32</f>
        <v>0</v>
      </c>
      <c r="G97" s="326">
        <f>'Расчет ФОТ'!M32</f>
        <v>0</v>
      </c>
      <c r="H97" s="326">
        <f>'Расчет ФОТ'!X32-'Расчет ФОТ'!O32</f>
        <v>0</v>
      </c>
      <c r="I97" s="328">
        <f>'Расчет ФОТ'!X32</f>
        <v>0</v>
      </c>
    </row>
    <row r="98" spans="2:9" s="202" customFormat="1" x14ac:dyDescent="0.25">
      <c r="B98" s="228">
        <f>'Расчет ФОТ'!B33</f>
        <v>0</v>
      </c>
      <c r="C98" s="326">
        <f>'Расчет ФОТ'!C33</f>
        <v>0</v>
      </c>
      <c r="D98" s="326">
        <f>'Расчет ФОТ'!J33</f>
        <v>0</v>
      </c>
      <c r="E98" s="326">
        <f>'Расчет ФОТ'!K33</f>
        <v>0</v>
      </c>
      <c r="F98" s="326">
        <f>'Расчет ФОТ'!L33</f>
        <v>0</v>
      </c>
      <c r="G98" s="326">
        <f>'Расчет ФОТ'!M33</f>
        <v>0</v>
      </c>
      <c r="H98" s="326">
        <f>'Расчет ФОТ'!X33-'Расчет ФОТ'!O33</f>
        <v>0</v>
      </c>
      <c r="I98" s="328">
        <f>'Расчет ФОТ'!X33</f>
        <v>0</v>
      </c>
    </row>
    <row r="99" spans="2:9" s="202" customFormat="1" x14ac:dyDescent="0.25">
      <c r="B99" s="228">
        <f>'Расчет ФОТ'!B34</f>
        <v>0</v>
      </c>
      <c r="C99" s="326">
        <f>'Расчет ФОТ'!C34</f>
        <v>0</v>
      </c>
      <c r="D99" s="326">
        <f>'Расчет ФОТ'!J34</f>
        <v>0</v>
      </c>
      <c r="E99" s="326">
        <f>'Расчет ФОТ'!K34</f>
        <v>0</v>
      </c>
      <c r="F99" s="326">
        <f>'Расчет ФОТ'!L34</f>
        <v>0</v>
      </c>
      <c r="G99" s="326">
        <f>'Расчет ФОТ'!M34</f>
        <v>0</v>
      </c>
      <c r="H99" s="326">
        <f>'Расчет ФОТ'!X34-'Расчет ФОТ'!O34</f>
        <v>0</v>
      </c>
      <c r="I99" s="328">
        <f>'Расчет ФОТ'!X34</f>
        <v>0</v>
      </c>
    </row>
    <row r="100" spans="2:9" s="202" customFormat="1" x14ac:dyDescent="0.25">
      <c r="B100" s="228">
        <f>'Расчет ФОТ'!B35</f>
        <v>0</v>
      </c>
      <c r="C100" s="326">
        <f>'Расчет ФОТ'!C35</f>
        <v>0</v>
      </c>
      <c r="D100" s="326">
        <f>'Расчет ФОТ'!J35</f>
        <v>0</v>
      </c>
      <c r="E100" s="326">
        <f>'Расчет ФОТ'!K35</f>
        <v>0</v>
      </c>
      <c r="F100" s="326">
        <f>'Расчет ФОТ'!L35</f>
        <v>0</v>
      </c>
      <c r="G100" s="326">
        <f>'Расчет ФОТ'!M35</f>
        <v>0</v>
      </c>
      <c r="H100" s="326">
        <f>'Расчет ФОТ'!X35-'Расчет ФОТ'!O35</f>
        <v>0</v>
      </c>
      <c r="I100" s="328">
        <f>'Расчет ФОТ'!X35</f>
        <v>0</v>
      </c>
    </row>
    <row r="101" spans="2:9" s="202" customFormat="1" x14ac:dyDescent="0.25">
      <c r="B101" s="228">
        <f>'Расчет ФОТ'!B36</f>
        <v>0</v>
      </c>
      <c r="C101" s="326">
        <f>'Расчет ФОТ'!C36</f>
        <v>0</v>
      </c>
      <c r="D101" s="326">
        <f>'Расчет ФОТ'!J36</f>
        <v>0</v>
      </c>
      <c r="E101" s="326">
        <f>'Расчет ФОТ'!K36</f>
        <v>0</v>
      </c>
      <c r="F101" s="326">
        <f>'Расчет ФОТ'!L36</f>
        <v>0</v>
      </c>
      <c r="G101" s="326">
        <f>'Расчет ФОТ'!M36</f>
        <v>0</v>
      </c>
      <c r="H101" s="326">
        <f>'Расчет ФОТ'!X36-'Расчет ФОТ'!O36</f>
        <v>0</v>
      </c>
      <c r="I101" s="328">
        <f>'Расчет ФОТ'!X36</f>
        <v>0</v>
      </c>
    </row>
    <row r="102" spans="2:9" s="202" customFormat="1" x14ac:dyDescent="0.25">
      <c r="B102" s="228">
        <f>'Расчет ФОТ'!B37</f>
        <v>0</v>
      </c>
      <c r="C102" s="326">
        <f>'Расчет ФОТ'!C37</f>
        <v>0</v>
      </c>
      <c r="D102" s="326">
        <f>'Расчет ФОТ'!J37</f>
        <v>0</v>
      </c>
      <c r="E102" s="326">
        <f>'Расчет ФОТ'!K37</f>
        <v>0</v>
      </c>
      <c r="F102" s="326">
        <f>'Расчет ФОТ'!L37</f>
        <v>0</v>
      </c>
      <c r="G102" s="326">
        <f>'Расчет ФОТ'!M37</f>
        <v>0</v>
      </c>
      <c r="H102" s="326">
        <f>'Расчет ФОТ'!X37-'Расчет ФОТ'!O37</f>
        <v>0</v>
      </c>
      <c r="I102" s="328">
        <f>'Расчет ФОТ'!X37</f>
        <v>0</v>
      </c>
    </row>
    <row r="103" spans="2:9" s="202" customFormat="1" x14ac:dyDescent="0.25">
      <c r="B103" s="228">
        <f>'Расчет ФОТ'!B38</f>
        <v>0</v>
      </c>
      <c r="C103" s="326">
        <f>'Расчет ФОТ'!C38</f>
        <v>0</v>
      </c>
      <c r="D103" s="326">
        <f>'Расчет ФОТ'!J38</f>
        <v>0</v>
      </c>
      <c r="E103" s="326">
        <f>'Расчет ФОТ'!K38</f>
        <v>0</v>
      </c>
      <c r="F103" s="326">
        <f>'Расчет ФОТ'!L38</f>
        <v>0</v>
      </c>
      <c r="G103" s="326">
        <f>'Расчет ФОТ'!M38</f>
        <v>0</v>
      </c>
      <c r="H103" s="326">
        <f>'Расчет ФОТ'!X38-'Расчет ФОТ'!O38</f>
        <v>0</v>
      </c>
      <c r="I103" s="328">
        <f>'Расчет ФОТ'!X38</f>
        <v>0</v>
      </c>
    </row>
    <row r="104" spans="2:9" s="202" customFormat="1" x14ac:dyDescent="0.25">
      <c r="B104" s="228">
        <f>'Расчет ФОТ'!B39</f>
        <v>0</v>
      </c>
      <c r="C104" s="326">
        <f>'Расчет ФОТ'!C39</f>
        <v>0</v>
      </c>
      <c r="D104" s="326">
        <f>'Расчет ФОТ'!J39</f>
        <v>0</v>
      </c>
      <c r="E104" s="326">
        <f>'Расчет ФОТ'!K39</f>
        <v>0</v>
      </c>
      <c r="F104" s="326">
        <f>'Расчет ФОТ'!L39</f>
        <v>0</v>
      </c>
      <c r="G104" s="326">
        <f>'Расчет ФОТ'!M39</f>
        <v>0</v>
      </c>
      <c r="H104" s="326">
        <f>'Расчет ФОТ'!X39-'Расчет ФОТ'!O39</f>
        <v>0</v>
      </c>
      <c r="I104" s="328">
        <f>'Расчет ФОТ'!X39</f>
        <v>0</v>
      </c>
    </row>
    <row r="105" spans="2:9" s="202" customFormat="1" x14ac:dyDescent="0.25">
      <c r="B105" s="228">
        <f>'Расчет ФОТ'!B40</f>
        <v>0</v>
      </c>
      <c r="C105" s="326">
        <f>'Расчет ФОТ'!C40</f>
        <v>0</v>
      </c>
      <c r="D105" s="326">
        <f>'Расчет ФОТ'!J40</f>
        <v>0</v>
      </c>
      <c r="E105" s="326">
        <f>'Расчет ФОТ'!K40</f>
        <v>0</v>
      </c>
      <c r="F105" s="326">
        <f>'Расчет ФОТ'!L40</f>
        <v>0</v>
      </c>
      <c r="G105" s="326">
        <f>'Расчет ФОТ'!M40</f>
        <v>0</v>
      </c>
      <c r="H105" s="326">
        <f>'Расчет ФОТ'!X40-'Расчет ФОТ'!O40</f>
        <v>0</v>
      </c>
      <c r="I105" s="328">
        <f>'Расчет ФОТ'!X40</f>
        <v>0</v>
      </c>
    </row>
    <row r="106" spans="2:9" s="202" customFormat="1" x14ac:dyDescent="0.25">
      <c r="B106" s="228">
        <f>'Расчет ФОТ'!B41</f>
        <v>0</v>
      </c>
      <c r="C106" s="326">
        <f>'Расчет ФОТ'!C41</f>
        <v>0</v>
      </c>
      <c r="D106" s="326">
        <f>'Расчет ФОТ'!J41</f>
        <v>0</v>
      </c>
      <c r="E106" s="326">
        <f>'Расчет ФОТ'!K41</f>
        <v>0</v>
      </c>
      <c r="F106" s="326">
        <f>'Расчет ФОТ'!L41</f>
        <v>0</v>
      </c>
      <c r="G106" s="326">
        <f>'Расчет ФОТ'!M41</f>
        <v>0</v>
      </c>
      <c r="H106" s="326">
        <f>'Расчет ФОТ'!X41-'Расчет ФОТ'!O41</f>
        <v>0</v>
      </c>
      <c r="I106" s="328">
        <f>'Расчет ФОТ'!X41</f>
        <v>0</v>
      </c>
    </row>
    <row r="107" spans="2:9" s="202" customFormat="1" x14ac:dyDescent="0.25">
      <c r="B107" s="228">
        <f>'Расчет ФОТ'!B42</f>
        <v>0</v>
      </c>
      <c r="C107" s="326">
        <f>'Расчет ФОТ'!C42</f>
        <v>0</v>
      </c>
      <c r="D107" s="326">
        <f>'Расчет ФОТ'!J42</f>
        <v>0</v>
      </c>
      <c r="E107" s="326">
        <f>'Расчет ФОТ'!K42</f>
        <v>0</v>
      </c>
      <c r="F107" s="326">
        <f>'Расчет ФОТ'!L42</f>
        <v>0</v>
      </c>
      <c r="G107" s="326">
        <f>'Расчет ФОТ'!M42</f>
        <v>0</v>
      </c>
      <c r="H107" s="326">
        <f>'Расчет ФОТ'!X42-'Расчет ФОТ'!O42</f>
        <v>0</v>
      </c>
      <c r="I107" s="328">
        <f>'Расчет ФОТ'!X42</f>
        <v>0</v>
      </c>
    </row>
    <row r="108" spans="2:9" s="202" customFormat="1" ht="15.75" thickBot="1" x14ac:dyDescent="0.3">
      <c r="B108" s="229">
        <f>'Расчет ФОТ'!B43</f>
        <v>0</v>
      </c>
      <c r="C108" s="330">
        <f>'Расчет ФОТ'!C43</f>
        <v>0</v>
      </c>
      <c r="D108" s="330">
        <f>'Расчет ФОТ'!J43</f>
        <v>0</v>
      </c>
      <c r="E108" s="330">
        <f>'Расчет ФОТ'!K43</f>
        <v>0</v>
      </c>
      <c r="F108" s="330">
        <f>'Расчет ФОТ'!L43</f>
        <v>0</v>
      </c>
      <c r="G108" s="330">
        <f>'Расчет ФОТ'!M43</f>
        <v>0</v>
      </c>
      <c r="H108" s="330">
        <f>'Расчет ФОТ'!X43-'Расчет ФОТ'!O43</f>
        <v>0</v>
      </c>
      <c r="I108" s="331">
        <f>'Расчет ФОТ'!X43</f>
        <v>0</v>
      </c>
    </row>
    <row r="109" spans="2:9" s="202" customFormat="1" x14ac:dyDescent="0.25">
      <c r="B109" s="215"/>
      <c r="H109" s="201"/>
    </row>
    <row r="110" spans="2:9" s="202" customFormat="1" x14ac:dyDescent="0.25"/>
  </sheetData>
  <sheetProtection algorithmName="SHA-512" hashValue="1YflCGRUf5Mc2Umiu8DvyH+Vr1KwX+ZTWRR2Gx8FDTtjJO+6Al86/8jJg6yQ9j+G9tVJ+yWIe1cbrsZvDYbrqw==" saltValue="Ql5Rhn9ycdHAvw2EMVuAUg==" spinCount="100000" sheet="1" objects="1" scenarios="1"/>
  <mergeCells count="13">
    <mergeCell ref="B2:D2"/>
    <mergeCell ref="E2:I2"/>
    <mergeCell ref="B3:D3"/>
    <mergeCell ref="E3:I3"/>
    <mergeCell ref="I72:I73"/>
    <mergeCell ref="B45:D46"/>
    <mergeCell ref="B72:D72"/>
    <mergeCell ref="E72:G72"/>
    <mergeCell ref="B7:B8"/>
    <mergeCell ref="C7:C8"/>
    <mergeCell ref="D7:D8"/>
    <mergeCell ref="E7:F7"/>
    <mergeCell ref="H72:H73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Лист1</vt:lpstr>
      <vt:lpstr>Правила и справки</vt:lpstr>
      <vt:lpstr>Статистическая ЗП</vt:lpstr>
      <vt:lpstr>Калькуляция</vt:lpstr>
      <vt:lpstr>Расчет ФОТ</vt:lpstr>
      <vt:lpstr>Тарификатор</vt:lpstr>
      <vt:lpstr>Приложение к договору</vt:lpstr>
      <vt:lpstr>Калькуляция!Область_печати</vt:lpstr>
      <vt:lpstr>Калькуляция!сумм_аммортиз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2022-10-28T13:15:01Z</dcterms:modified>
</cp:coreProperties>
</file>